
<file path=[Content_Types].xml><?xml version="1.0" encoding="utf-8"?>
<Types xmlns="http://schemas.openxmlformats.org/package/2006/content-types">
  <Default Extension="xml" ContentType="application/xml"/>
  <Default Extension="vml" ContentType="application/vnd.openxmlformats-officedocument.vmlDrawing"/>
  <Default Extension="xlsx" ContentType="application/vnd.openxmlformats-officedocument.spreadsheetml.sheet"/>
  <Default Extension="xls" ContentType="application/vnd.ms-excel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Override PartName="/customXml/itemProps1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 codeName="ThisWorkbook" updateLinks="never"/>
  <bookViews>
    <workbookView windowWidth="23040" windowHeight="9420" tabRatio="865" firstSheet="3" activeTab="12"/>
  </bookViews>
  <sheets>
    <sheet name="检讨数据库" sheetId="43" r:id="rId1"/>
    <sheet name="Bent方程式" sheetId="35" r:id="rId2"/>
    <sheet name="BOM List格式（附件上传）规格一" sheetId="54" r:id="rId3"/>
    <sheet name="BOM List格式（附件上传）" sheetId="37" r:id="rId4"/>
    <sheet name="Summary" sheetId="19" r:id="rId5"/>
    <sheet name="亮度與BLU功耗" sheetId="16" r:id="rId6"/>
    <sheet name="Section量产数据库" sheetId="49" state="hidden" r:id="rId7"/>
    <sheet name="Thickness &amp; Weight" sheetId="28" r:id="rId8"/>
    <sheet name="Outline_X_and_Y" sheetId="27" r:id="rId9"/>
    <sheet name="Cell Tape 貼覆面積" sheetId="29" r:id="rId10"/>
    <sheet name="Open Cell" sheetId="36" r:id="rId11"/>
    <sheet name="检讨报告" sheetId="50" state="hidden" r:id="rId12"/>
    <sheet name="周边强度评估表" sheetId="53" r:id="rId13"/>
    <sheet name="砝码漏光模拟" sheetId="51" r:id="rId14"/>
    <sheet name="翘曲度评估模板" sheetId="52" r:id="rId15"/>
    <sheet name="量產機種資料" sheetId="22" r:id="rId16"/>
    <sheet name="U-Diff.選型" sheetId="3" r:id="rId17"/>
    <sheet name="棱鏡片選型" sheetId="21" r:id="rId18"/>
    <sheet name="D-Diff.選型" sheetId="5" r:id="rId19"/>
    <sheet name="Ref.選型" sheetId="6" r:id="rId20"/>
    <sheet name="LED選型" sheetId="7" r:id="rId21"/>
    <sheet name="背板" sheetId="38" r:id="rId22"/>
    <sheet name="胶框" sheetId="39" r:id="rId23"/>
    <sheet name="LGP " sheetId="40" r:id="rId24"/>
    <sheet name="Cell tape" sheetId="44" r:id="rId25"/>
    <sheet name="吸波材" sheetId="45" r:id="rId26"/>
    <sheet name="导电布" sheetId="46" r:id="rId27"/>
    <sheet name="LED-電流與最大電壓" sheetId="23" r:id="rId28"/>
    <sheet name="LED Driver 效率_100%" sheetId="32" r:id="rId29"/>
    <sheet name="LED Driver 效率_duty_其他" sheetId="34" r:id="rId30"/>
    <sheet name="LED Driver 效率_duty_其他 (3105)" sheetId="42" r:id="rId31"/>
    <sheet name="LED Driver 效率_duty_其他 (4206)" sheetId="41" r:id="rId32"/>
    <sheet name="玻璃穿透率參考" sheetId="30" r:id="rId33"/>
  </sheets>
  <externalReferences>
    <externalReference r:id="rId35"/>
    <externalReference r:id="rId36"/>
    <externalReference r:id="rId37"/>
  </externalReferences>
  <definedNames>
    <definedName name="_xlnm._FilterDatabase" localSheetId="2" hidden="1">'BOM List格式（附件上传）规格一'!$B$4:$K$212</definedName>
    <definedName name="_xlnm._FilterDatabase" localSheetId="3" hidden="1">'BOM List格式（附件上传）'!$B$4:$K$163</definedName>
    <definedName name="_xlnm._FilterDatabase" localSheetId="15" hidden="1">量產機種資料!$A$6:$CN$46</definedName>
    <definedName name="_xlnm._FilterDatabase" localSheetId="17" hidden="1">棱鏡片選型!$A$2:$AC$38</definedName>
    <definedName name="a" localSheetId="28">'[1]U-Diff.選型'!#REF!</definedName>
    <definedName name="a" localSheetId="30">'[2]U-Diff.選型'!#REF!</definedName>
    <definedName name="a" localSheetId="31">'[2]U-Diff.選型'!#REF!</definedName>
    <definedName name="a" localSheetId="13">'[3]U-Diff.選型'!#REF!</definedName>
    <definedName name="a">'[2]U-Diff.選型'!#REF!</definedName>
    <definedName name="asd">'[2]U-Diff.選型'!#REF!</definedName>
    <definedName name="Down_Diffuser">'D-Diff.選型'!$B$2:$B$19</definedName>
    <definedName name="fb" localSheetId="30">#REF!</definedName>
    <definedName name="fb" localSheetId="31">#REF!</definedName>
    <definedName name="fb" localSheetId="4">#REF!</definedName>
    <definedName name="fb">#REF!</definedName>
    <definedName name="la">"文本框 35"</definedName>
    <definedName name="lb">"文本框 34"</definedName>
    <definedName name="LED">LED選型!$B$3:$B$67</definedName>
    <definedName name="prism" localSheetId="28">#REF!</definedName>
    <definedName name="prism" localSheetId="30">#REF!</definedName>
    <definedName name="prism" localSheetId="31">#REF!</definedName>
    <definedName name="prism" localSheetId="13">#REF!</definedName>
    <definedName name="prism" localSheetId="17">棱鏡片選型!$C$3:$C$36</definedName>
    <definedName name="prism">#REF!</definedName>
    <definedName name="Reflector" localSheetId="28">[1]Ref.選型!#REF!</definedName>
    <definedName name="Reflector" localSheetId="13">[3]Ref.選型!#REF!</definedName>
    <definedName name="Reflector">Ref.選型!$B$2:$B$17</definedName>
  </definedNames>
  <calcPr calcId="144525"/>
</workbook>
</file>

<file path=xl/comments1.xml><?xml version="1.0" encoding="utf-8"?>
<comments xmlns="http://schemas.openxmlformats.org/spreadsheetml/2006/main">
  <authors>
    <author>10115059</author>
    <author>朱孝菲</author>
  </authors>
  <commentList>
    <comment ref="D6" authorId="0">
      <text>
        <r>
          <rPr>
            <b/>
            <sz val="9"/>
            <rFont val="宋体"/>
            <charset val="134"/>
          </rPr>
          <t>HsinTien Wu
參考機種請Copy量產機種資料
的完整機種名</t>
        </r>
      </text>
    </comment>
    <comment ref="F12" authorId="1">
      <text>
        <r>
          <rPr>
            <b/>
            <sz val="9"/>
            <rFont val="宋体"/>
            <charset val="134"/>
          </rPr>
          <t>需提前确认</t>
        </r>
      </text>
    </comment>
    <comment ref="G14" authorId="1">
      <text>
        <r>
          <rPr>
            <b/>
            <sz val="9"/>
            <rFont val="宋体"/>
            <charset val="134"/>
          </rPr>
          <t>LED成本增益</t>
        </r>
      </text>
    </comment>
    <comment ref="F21" authorId="1">
      <text>
        <r>
          <rPr>
            <b/>
            <sz val="9"/>
            <rFont val="宋体"/>
            <charset val="134"/>
          </rPr>
          <t>推荐LED电流Max</t>
        </r>
      </text>
    </comment>
    <comment ref="F23" authorId="1">
      <text>
        <r>
          <rPr>
            <b/>
            <sz val="9"/>
            <rFont val="宋体"/>
            <charset val="134"/>
          </rPr>
          <t>LED Driver转化效率</t>
        </r>
      </text>
    </comment>
    <comment ref="G23" authorId="1">
      <text>
        <r>
          <rPr>
            <b/>
            <sz val="9"/>
            <rFont val="宋体"/>
            <charset val="134"/>
          </rPr>
          <t>第2个LED Driver IC转化效率</t>
        </r>
      </text>
    </comment>
    <comment ref="F27" authorId="0">
      <text>
        <r>
          <rPr>
            <b/>
            <sz val="9"/>
            <rFont val="宋体"/>
            <charset val="134"/>
          </rPr>
          <t xml:space="preserve">上擴影響
</t>
        </r>
      </text>
    </comment>
    <comment ref="G27" authorId="1">
      <text>
        <r>
          <rPr>
            <b/>
            <sz val="9"/>
            <rFont val="宋体"/>
            <charset val="134"/>
          </rPr>
          <t>成本增益</t>
        </r>
        <r>
          <rPr>
            <sz val="9"/>
            <rFont val="宋体"/>
            <charset val="134"/>
          </rPr>
          <t xml:space="preserve">
</t>
        </r>
      </text>
    </comment>
    <comment ref="F29" authorId="0">
      <text>
        <r>
          <rPr>
            <b/>
            <sz val="9"/>
            <rFont val="宋体"/>
            <charset val="134"/>
          </rPr>
          <t>Lens 的增益</t>
        </r>
      </text>
    </comment>
    <comment ref="G29" authorId="1">
      <text>
        <r>
          <rPr>
            <b/>
            <sz val="9"/>
            <rFont val="宋体"/>
            <charset val="134"/>
          </rPr>
          <t>成本增益</t>
        </r>
      </text>
    </comment>
    <comment ref="K29" authorId="1">
      <text>
        <r>
          <rPr>
            <b/>
            <sz val="9"/>
            <rFont val="宋体"/>
            <charset val="134"/>
          </rPr>
          <t>影响因素：FPC背涂UV胶+FPC弯折量决定</t>
        </r>
      </text>
    </comment>
    <comment ref="K30" authorId="1">
      <text>
        <r>
          <rPr>
            <b/>
            <sz val="9"/>
            <rFont val="宋体"/>
            <charset val="134"/>
          </rPr>
          <t>影响因素：TVS放置方式+LED型号决定</t>
        </r>
      </text>
    </comment>
    <comment ref="F31" authorId="0">
      <text>
        <r>
          <rPr>
            <b/>
            <sz val="9"/>
            <rFont val="宋体"/>
            <charset val="134"/>
          </rPr>
          <t>下擴增益</t>
        </r>
      </text>
    </comment>
    <comment ref="G31" authorId="1">
      <text>
        <r>
          <rPr>
            <b/>
            <sz val="9"/>
            <rFont val="宋体"/>
            <charset val="134"/>
          </rPr>
          <t>成本增益</t>
        </r>
        <r>
          <rPr>
            <sz val="9"/>
            <rFont val="宋体"/>
            <charset val="134"/>
          </rPr>
          <t xml:space="preserve">
</t>
        </r>
      </text>
    </comment>
    <comment ref="F32" authorId="0">
      <text>
        <r>
          <rPr>
            <b/>
            <sz val="9"/>
            <rFont val="宋体"/>
            <charset val="134"/>
          </rPr>
          <t>反射片增益</t>
        </r>
      </text>
    </comment>
    <comment ref="G32" authorId="1">
      <text>
        <r>
          <rPr>
            <b/>
            <sz val="9"/>
            <rFont val="宋体"/>
            <charset val="134"/>
          </rPr>
          <t>成本增益</t>
        </r>
        <r>
          <rPr>
            <sz val="9"/>
            <rFont val="宋体"/>
            <charset val="134"/>
          </rPr>
          <t xml:space="preserve">
</t>
        </r>
      </text>
    </comment>
    <comment ref="F35" authorId="1">
      <text>
        <r>
          <rPr>
            <b/>
            <sz val="9"/>
            <rFont val="宋体"/>
            <charset val="134"/>
          </rPr>
          <t>辉度增益</t>
        </r>
      </text>
    </comment>
    <comment ref="E39" authorId="0">
      <text>
        <r>
          <rPr>
            <b/>
            <sz val="9"/>
            <rFont val="宋体"/>
            <charset val="134"/>
          </rPr>
          <t>HsinTien Wu
AA的Size 比值</t>
        </r>
      </text>
    </comment>
    <comment ref="E40" authorId="0">
      <text>
        <r>
          <rPr>
            <b/>
            <sz val="9"/>
            <rFont val="宋体"/>
            <charset val="134"/>
          </rPr>
          <t>HsinTien Wu
與參考機種比較Aging的情況</t>
        </r>
      </text>
    </comment>
    <comment ref="E42" authorId="0">
      <text>
        <r>
          <rPr>
            <b/>
            <sz val="9"/>
            <rFont val="宋体"/>
            <charset val="134"/>
          </rPr>
          <t>HsinTien Wu
電流的比值</t>
        </r>
      </text>
    </comment>
    <comment ref="E43" authorId="0">
      <text>
        <r>
          <rPr>
            <b/>
            <sz val="9"/>
            <rFont val="宋体"/>
            <charset val="134"/>
          </rPr>
          <t xml:space="preserve">HsinTien Wu
Film Total 增益
</t>
        </r>
      </text>
    </comment>
    <comment ref="I43" authorId="1">
      <text>
        <r>
          <rPr>
            <b/>
            <sz val="9"/>
            <rFont val="宋体"/>
            <charset val="134"/>
          </rPr>
          <t>要求：A/P＞1.2
改版周期：20D
结构：注塑</t>
        </r>
      </text>
    </comment>
    <comment ref="I44" authorId="1">
      <text>
        <r>
          <rPr>
            <b/>
            <sz val="9"/>
            <rFont val="宋体"/>
            <charset val="134"/>
          </rPr>
          <t>要求：A/P＞1.2
改版周期：10D
结构：热压
厂家：维旺NGL/天禄TIR</t>
        </r>
      </text>
    </comment>
    <comment ref="E45" authorId="0">
      <text>
        <r>
          <rPr>
            <b/>
            <sz val="9"/>
            <rFont val="宋体"/>
            <charset val="134"/>
          </rPr>
          <t>HsinTien Wu
假設LGP超過0.7T，程式將使用0.7T LGP 的增益計算</t>
        </r>
      </text>
    </comment>
    <comment ref="J87" authorId="1">
      <text>
        <r>
          <rPr>
            <b/>
            <sz val="9"/>
            <rFont val="宋体"/>
            <charset val="134"/>
          </rPr>
          <t>不同亮度下，
功耗计算</t>
        </r>
        <r>
          <rPr>
            <sz val="9"/>
            <rFont val="宋体"/>
            <charset val="134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朱孝菲</author>
  </authors>
  <commentList>
    <comment ref="W18" authorId="0">
      <text>
        <r>
          <rPr>
            <b/>
            <sz val="9"/>
            <rFont val="宋体"/>
            <charset val="134"/>
          </rPr>
          <t>TV156FHM-NM0项目使用Al5052材质出现100%黑点，需谨慎使用</t>
        </r>
      </text>
    </comment>
    <comment ref="AB18" authorId="0">
      <text>
        <r>
          <rPr>
            <b/>
            <sz val="9"/>
            <rFont val="宋体"/>
            <charset val="134"/>
          </rPr>
          <t>开模费：30w</t>
        </r>
      </text>
    </comment>
    <comment ref="AB19" authorId="0">
      <text>
        <r>
          <rPr>
            <b/>
            <sz val="9"/>
            <rFont val="宋体"/>
            <charset val="134"/>
          </rPr>
          <t>开模费：30w</t>
        </r>
      </text>
    </comment>
    <comment ref="H23" authorId="0">
      <text>
        <r>
          <rPr>
            <b/>
            <sz val="9"/>
            <rFont val="宋体"/>
            <charset val="134"/>
          </rPr>
          <t>厚度公差Spec</t>
        </r>
      </text>
    </comment>
    <comment ref="Z29" authorId="0">
      <text>
        <r>
          <rPr>
            <b/>
            <sz val="9"/>
            <rFont val="宋体"/>
            <charset val="134"/>
          </rPr>
          <t>厚度：0.15t，非常规材质</t>
        </r>
      </text>
    </comment>
    <comment ref="B31" authorId="0">
      <text/>
    </comment>
    <comment ref="B32" authorId="0">
      <text/>
    </comment>
    <comment ref="B33" authorId="0">
      <text/>
    </comment>
    <comment ref="B34" authorId="0">
      <text/>
    </comment>
    <comment ref="B35" authorId="0">
      <text/>
    </comment>
    <comment ref="B36" authorId="0">
      <text>
        <r>
          <rPr>
            <sz val="9"/>
            <rFont val="宋体"/>
            <charset val="134"/>
          </rPr>
          <t xml:space="preserve">
</t>
        </r>
      </text>
    </comment>
    <comment ref="B37" authorId="0">
      <text/>
    </comment>
  </commentList>
</comments>
</file>

<file path=xl/comments3.xml><?xml version="1.0" encoding="utf-8"?>
<comments xmlns="http://schemas.openxmlformats.org/spreadsheetml/2006/main">
  <authors>
    <author>朱孝菲</author>
  </authors>
  <commentList>
    <comment ref="U65" authorId="0">
      <text>
        <r>
          <rPr>
            <b/>
            <sz val="9"/>
            <rFont val="宋体"/>
            <charset val="134"/>
          </rPr>
          <t>要求：A/P＞1.0
改版周期：20D
结构：注塑</t>
        </r>
      </text>
    </comment>
    <comment ref="U66" authorId="0">
      <text>
        <r>
          <rPr>
            <b/>
            <sz val="9"/>
            <rFont val="宋体"/>
            <charset val="134"/>
          </rPr>
          <t>要求：A/P＞1.2
改版周期：10D
结构：热压
厂家：维旺NGL/天禄TIR</t>
        </r>
      </text>
    </comment>
  </commentList>
</comments>
</file>

<file path=xl/comments4.xml><?xml version="1.0" encoding="utf-8"?>
<comments xmlns="http://schemas.openxmlformats.org/spreadsheetml/2006/main">
  <authors>
    <author>朱孝菲</author>
  </authors>
  <commentList>
    <comment ref="B33" authorId="0">
      <text>
        <r>
          <rPr>
            <b/>
            <sz val="9"/>
            <rFont val="宋体"/>
            <charset val="134"/>
          </rPr>
          <t>朱孝菲:</t>
        </r>
        <r>
          <rPr>
            <sz val="9"/>
            <rFont val="宋体"/>
            <charset val="134"/>
          </rPr>
          <t xml:space="preserve">
Normal+低蓝光两种</t>
        </r>
      </text>
    </comment>
    <comment ref="L33" authorId="0">
      <text>
        <r>
          <rPr>
            <b/>
            <sz val="9"/>
            <rFont val="宋体"/>
            <charset val="134"/>
          </rPr>
          <t>朱孝菲:</t>
        </r>
        <r>
          <rPr>
            <sz val="9"/>
            <rFont val="宋体"/>
            <charset val="134"/>
          </rPr>
          <t xml:space="preserve">
Normal+低蓝光两种</t>
        </r>
      </text>
    </comment>
    <comment ref="B34" authorId="0">
      <text>
        <r>
          <rPr>
            <b/>
            <sz val="9"/>
            <rFont val="宋体"/>
            <charset val="134"/>
          </rPr>
          <t>朱孝菲:</t>
        </r>
        <r>
          <rPr>
            <sz val="9"/>
            <rFont val="宋体"/>
            <charset val="134"/>
          </rPr>
          <t xml:space="preserve">
Normal+低蓝光两种</t>
        </r>
      </text>
    </comment>
    <comment ref="L34" authorId="0">
      <text>
        <r>
          <rPr>
            <b/>
            <sz val="9"/>
            <rFont val="宋体"/>
            <charset val="134"/>
          </rPr>
          <t>朱孝菲:</t>
        </r>
        <r>
          <rPr>
            <sz val="9"/>
            <rFont val="宋体"/>
            <charset val="134"/>
          </rPr>
          <t xml:space="preserve">
Normal+低蓝光两种</t>
        </r>
      </text>
    </comment>
  </commentList>
</comments>
</file>

<file path=xl/comments5.xml><?xml version="1.0" encoding="utf-8"?>
<comments xmlns="http://schemas.openxmlformats.org/spreadsheetml/2006/main">
  <authors>
    <author>朱孝菲</author>
  </authors>
  <commentList>
    <comment ref="B11" authorId="0">
      <text>
        <r>
          <rPr>
            <b/>
            <sz val="9"/>
            <rFont val="宋体"/>
            <charset val="134"/>
          </rPr>
          <t>要求：A/P＞1.2
改版周期：20D
结构：注塑</t>
        </r>
      </text>
    </comment>
    <comment ref="B13" authorId="0">
      <text>
        <r>
          <rPr>
            <b/>
            <sz val="9"/>
            <rFont val="宋体"/>
            <charset val="134"/>
          </rPr>
          <t>要求：A/P＞1.2
改版周期：10D
结构：热压
厂家：维旺NGL/天禄TIR</t>
        </r>
      </text>
    </comment>
  </commentList>
</comments>
</file>

<file path=xl/sharedStrings.xml><?xml version="1.0" encoding="utf-8"?>
<sst xmlns="http://schemas.openxmlformats.org/spreadsheetml/2006/main" count="8828" uniqueCount="3337">
  <si>
    <t>机光数据</t>
  </si>
  <si>
    <t>分类</t>
  </si>
  <si>
    <t>字段</t>
  </si>
  <si>
    <t>参数值</t>
  </si>
  <si>
    <t>单位</t>
  </si>
  <si>
    <t>结构</t>
  </si>
  <si>
    <t>产品结构</t>
  </si>
  <si>
    <t>-</t>
  </si>
  <si>
    <t>是否有Touch</t>
  </si>
  <si>
    <t>否</t>
  </si>
  <si>
    <t>是否有CG</t>
  </si>
  <si>
    <t>是否Slimming</t>
  </si>
  <si>
    <t>是</t>
  </si>
  <si>
    <t>Outline_X(mm)</t>
  </si>
  <si>
    <t>mm</t>
  </si>
  <si>
    <t>Outline_Y(Body侧)(mm)</t>
  </si>
  <si>
    <t>Outline_Y(PCB侧)(mm)</t>
  </si>
  <si>
    <t>模组翘曲度(mm)Max</t>
  </si>
  <si>
    <t>CNT位置（到AA距离X）</t>
  </si>
  <si>
    <t>CNT位置（到AA距离Y）</t>
  </si>
  <si>
    <t>模组边框(mm)</t>
  </si>
  <si>
    <t>U</t>
  </si>
  <si>
    <t>L</t>
  </si>
  <si>
    <t>R</t>
  </si>
  <si>
    <t>D(Body侧)</t>
  </si>
  <si>
    <t>D(PCB侧)</t>
  </si>
  <si>
    <t>CF POL~AA(mm)</t>
  </si>
  <si>
    <t>D</t>
  </si>
  <si>
    <t>TFT POL~AA(mm)</t>
  </si>
  <si>
    <t>模组厚度(Body)(mm)</t>
  </si>
  <si>
    <t>Typ</t>
  </si>
  <si>
    <t>Max</t>
  </si>
  <si>
    <t>模组厚度(PCB)(mm)</t>
  </si>
  <si>
    <t>CF Glass厚度(mm)</t>
  </si>
  <si>
    <t>TFT Glass厚度(mm)</t>
  </si>
  <si>
    <t>重量(g)</t>
  </si>
  <si>
    <t>g</t>
  </si>
  <si>
    <t>光学&amp;功耗</t>
  </si>
  <si>
    <t>BLU功耗(W)</t>
  </si>
  <si>
    <t>W</t>
  </si>
  <si>
    <t>色域</t>
  </si>
  <si>
    <t>LED Driver</t>
  </si>
  <si>
    <t>100%duty亮度(nit)</t>
  </si>
  <si>
    <t>nit</t>
  </si>
  <si>
    <t>Min</t>
  </si>
  <si>
    <t>亮度测试点位(中心点/5点/9点/13点)</t>
  </si>
  <si>
    <t>5点</t>
  </si>
  <si>
    <t>不同亮度BLU功耗</t>
  </si>
  <si>
    <t>***@150nit/**@60nit</t>
  </si>
  <si>
    <t>白点坐标</t>
  </si>
  <si>
    <t>Wx</t>
  </si>
  <si>
    <t>0.313±0.03</t>
  </si>
  <si>
    <t>Wy</t>
  </si>
  <si>
    <t>0.329±0.03</t>
  </si>
  <si>
    <t>低蓝光</t>
  </si>
  <si>
    <t>蓝光占比</t>
  </si>
  <si>
    <t>≤0.085</t>
  </si>
  <si>
    <t>毒害系数</t>
  </si>
  <si>
    <t>≤50%</t>
  </si>
  <si>
    <t>色温</t>
  </si>
  <si>
    <t>6500±1000</t>
  </si>
  <si>
    <t>核心材料</t>
  </si>
  <si>
    <t>BLU规格</t>
  </si>
  <si>
    <t>亮度Typ(nit)</t>
  </si>
  <si>
    <t>亮度Min(nit)</t>
  </si>
  <si>
    <t>LB</t>
  </si>
  <si>
    <t>灯厂</t>
  </si>
  <si>
    <t>型号</t>
  </si>
  <si>
    <t>颗数</t>
  </si>
  <si>
    <t>TVS数量</t>
  </si>
  <si>
    <t>亮度档</t>
  </si>
  <si>
    <t>电流(mA)</t>
  </si>
  <si>
    <t>mA</t>
  </si>
  <si>
    <t>电压(V)</t>
  </si>
  <si>
    <t>V</t>
  </si>
  <si>
    <t>Back Cover</t>
  </si>
  <si>
    <t>是否新开模具(否：填写共用项目)</t>
  </si>
  <si>
    <t>否(共用NV116WHM-N63-3940)</t>
  </si>
  <si>
    <t>背板材质</t>
  </si>
  <si>
    <t>背板厚度(mm)</t>
  </si>
  <si>
    <t>是否全背板</t>
  </si>
  <si>
    <t>是否双折(U)</t>
  </si>
  <si>
    <t>是否双折(L)</t>
  </si>
  <si>
    <t>是否双折(R)</t>
  </si>
  <si>
    <t>是否双折(D)</t>
  </si>
  <si>
    <t>LGP</t>
  </si>
  <si>
    <t>是否需要新开模具</t>
  </si>
  <si>
    <t>LGP材质</t>
  </si>
  <si>
    <t>LGP结构</t>
  </si>
  <si>
    <t>LGP厚度(mm)</t>
  </si>
  <si>
    <t>Mold Frame</t>
  </si>
  <si>
    <t>材质</t>
  </si>
  <si>
    <t>PC</t>
  </si>
  <si>
    <t>颜色</t>
  </si>
  <si>
    <t>Diffuser Up</t>
  </si>
  <si>
    <t>原材厂</t>
  </si>
  <si>
    <t>厚度(mm)</t>
  </si>
  <si>
    <t>是否黑边印刷</t>
  </si>
  <si>
    <t>Prism UP</t>
  </si>
  <si>
    <t>棱镜角度</t>
  </si>
  <si>
    <t>Prism Down</t>
  </si>
  <si>
    <t>Diffuser Down</t>
  </si>
  <si>
    <t>Reflector</t>
  </si>
  <si>
    <t>OCA</t>
  </si>
  <si>
    <t>/</t>
  </si>
  <si>
    <t>厚度</t>
  </si>
  <si>
    <t>CG</t>
  </si>
  <si>
    <t>Cell Tape Up</t>
  </si>
  <si>
    <t>Cell Tape Left</t>
  </si>
  <si>
    <t>Cell Tape Right</t>
  </si>
  <si>
    <t>Cell Tape Down</t>
  </si>
  <si>
    <t>是否满足</t>
  </si>
  <si>
    <t>不满足原因</t>
  </si>
  <si>
    <t>Remark</t>
  </si>
  <si>
    <t>方程式组</t>
  </si>
  <si>
    <t>变量</t>
  </si>
  <si>
    <t>表达式</t>
  </si>
  <si>
    <t>值</t>
  </si>
  <si>
    <t>最小值</t>
  </si>
  <si>
    <t>最大值</t>
  </si>
  <si>
    <t>类型</t>
  </si>
  <si>
    <t>描述</t>
  </si>
  <si>
    <t>状态</t>
  </si>
  <si>
    <t>AA_X</t>
  </si>
  <si>
    <t>数字</t>
  </si>
  <si>
    <t>AA_Y</t>
  </si>
  <si>
    <t>Cell_Tape</t>
  </si>
  <si>
    <t>0.05/0.06</t>
  </si>
  <si>
    <t>MF To BC Gap</t>
  </si>
  <si>
    <t>常规边框0.1/超窄边框0.05min</t>
  </si>
  <si>
    <t>Panel guide</t>
  </si>
  <si>
    <t>0.2(＞15.6“)
   0.15(≤15.6“)</t>
  </si>
  <si>
    <t>Thickness</t>
  </si>
  <si>
    <t>CF_POL</t>
  </si>
  <si>
    <t>CF_Glass</t>
  </si>
  <si>
    <t>TFT_Glass</t>
  </si>
  <si>
    <t>TFT_POL</t>
  </si>
  <si>
    <t>CELL_THICKNESS</t>
  </si>
  <si>
    <t>CF_POL+CF_Glass+TFT_Glass+TFT_POL</t>
  </si>
  <si>
    <t>Air_GAP</t>
  </si>
  <si>
    <t>Film_1</t>
  </si>
  <si>
    <t>Film_2</t>
  </si>
  <si>
    <t>Film_3</t>
  </si>
  <si>
    <t>Film_4</t>
  </si>
  <si>
    <t>FILM_Thickness</t>
  </si>
  <si>
    <t>Film_1+Film_2+Film_3+Film_4</t>
  </si>
  <si>
    <t>REFLECTOR</t>
  </si>
  <si>
    <t>REFLECTOR_Fix_TAPE</t>
  </si>
  <si>
    <t>BC_THICKNESS</t>
  </si>
  <si>
    <t>RECESS</t>
  </si>
  <si>
    <t>PCB_fix_TAPE</t>
  </si>
  <si>
    <t>PCB_THICKNESS_SB</t>
  </si>
  <si>
    <t>Component</t>
  </si>
  <si>
    <t>Component_to_Cell tape_Gap</t>
  </si>
  <si>
    <t>Cell tape_D</t>
  </si>
  <si>
    <t>TFT_PCB</t>
  </si>
  <si>
    <t>TFT_Glass+TFT_POL+Air_GAP+FILM_Thickness+LGP+REFLECTOR+REFLECTOR_Fix_TAPE+BC_THICKNESS+PCB_fix_TAPE+PCB_THICKNESS_SB</t>
  </si>
  <si>
    <t>MDL_Thickness_Body</t>
  </si>
  <si>
    <t>CELL_THICKNESS+Air_GAP+FILM_Thickness+LGP+REFLECTOR+REFLECTOR_Fix_TAPE+BC_THICKNESS+Cell_Tape</t>
  </si>
  <si>
    <t>MDL_Thickness_PCB</t>
  </si>
  <si>
    <t>CELL_THICKNESS+Air_GAP+FILM_Thickness+LGP+REFLECTOR+REFLECTOR_Fix_TAPE+BC_THICKNESS+PCB_fix_TAPE+PCB_THICKNESS_SB+Component+Component_to_Cell tape_Gap+Cell tape_D</t>
  </si>
  <si>
    <t>Boder_Left</t>
  </si>
  <si>
    <t>Back_Cover_L</t>
  </si>
  <si>
    <t>单折：1*背板
双折：2*背板</t>
  </si>
  <si>
    <t>MF_U_L</t>
  </si>
  <si>
    <t>Panel to MF Gap_L</t>
  </si>
  <si>
    <t>考虑Panel guide</t>
  </si>
  <si>
    <t>TFT_to_AA_L</t>
  </si>
  <si>
    <t>Border_L</t>
  </si>
  <si>
    <t>Cell_Tape+Back_Cover_L+MF To BC Gap+MF_U_L+Panel to MF Gap_L+TFT_to_AA_L</t>
  </si>
  <si>
    <t>边框L</t>
  </si>
  <si>
    <t>AA~OUTLINE_L</t>
  </si>
  <si>
    <t>AA_X/2+Border_L</t>
  </si>
  <si>
    <t>Panel承载面_L</t>
  </si>
  <si>
    <t>≥0.5</t>
  </si>
  <si>
    <t>POL_U_to_AA_L</t>
  </si>
  <si>
    <t>≥1.0&amp;考虑BM挖槽</t>
  </si>
  <si>
    <t>POL_D_to_AA_L</t>
  </si>
  <si>
    <t>≥1.1</t>
  </si>
  <si>
    <t>Shading Tape_to_AA_L</t>
  </si>
  <si>
    <t>≥0.8</t>
  </si>
  <si>
    <t>黑边U_To_AA_L</t>
  </si>
  <si>
    <t>黑边D_To_AA_L</t>
  </si>
  <si>
    <t>≥1.0</t>
  </si>
  <si>
    <t>Ref_to_AA_L</t>
  </si>
  <si>
    <t>MF_D_L</t>
  </si>
  <si>
    <t>LGP_to_MF_L</t>
  </si>
  <si>
    <t>PMMA：0.8(＞15.6“)
   0.7(≤15.6“)</t>
  </si>
  <si>
    <t>Film_To_MF_L</t>
  </si>
  <si>
    <t>0.3</t>
  </si>
  <si>
    <t>shading_tape_THK_L</t>
  </si>
  <si>
    <t>Film_To_AA_L</t>
  </si>
  <si>
    <t>TFT_to_AA_L-Panel承载面_L-Film_To_MF_L</t>
  </si>
  <si>
    <t>≥1.2</t>
  </si>
  <si>
    <t>LGP_to_AA_L</t>
  </si>
  <si>
    <t>MF_U_L+Panel to MF Gap_L+TFT_to_AA_L-MF_D_L-LGP_to_MF_L</t>
  </si>
  <si>
    <t>Shading Tape_to_POL_D重合量_L</t>
  </si>
  <si>
    <t>POL_D_to_AA_L-Shading Tape_to_AA_L</t>
  </si>
  <si>
    <t>≥0.4/≤-0.4</t>
  </si>
  <si>
    <t>Shading Tape_to_Dif_U重合量_L</t>
  </si>
  <si>
    <t>Film_To_AA_L-Shading Tape_to_AA_L</t>
  </si>
  <si>
    <t>≥0.6/≤-0.6</t>
  </si>
  <si>
    <t>Boder_Right</t>
  </si>
  <si>
    <t>Back Cover_R</t>
  </si>
  <si>
    <t>MF_U_R</t>
  </si>
  <si>
    <t>Panel to MF Gap_R</t>
  </si>
  <si>
    <t>TFT_to_AA_R</t>
  </si>
  <si>
    <t>Border_R</t>
  </si>
  <si>
    <t>Cell_Tape+Back Cover_R+MF To BC Gap+MF_U_R+Panel to MF Gap_R+TFT_to_AA_R</t>
  </si>
  <si>
    <t>边框R</t>
  </si>
  <si>
    <t>AA~OUTLINE_R</t>
  </si>
  <si>
    <t>AA_X/2+Border_R</t>
  </si>
  <si>
    <t>Panel承载面_R</t>
  </si>
  <si>
    <t>POL_U_to_AA_R</t>
  </si>
  <si>
    <t>POL_D_to_AA_R</t>
  </si>
  <si>
    <t>Shading Tape_to_AA_R</t>
  </si>
  <si>
    <t>黑边U_To_AA_R</t>
  </si>
  <si>
    <t>黑边D_To_AA_R</t>
  </si>
  <si>
    <t>Ref_to_AA_R</t>
  </si>
  <si>
    <t>MF_D_R</t>
  </si>
  <si>
    <t>LGP_to_MF_R</t>
  </si>
  <si>
    <t>Film_To_MF_R</t>
  </si>
  <si>
    <t>shading_tape_THK_R</t>
  </si>
  <si>
    <t>Film_To_AA_R</t>
  </si>
  <si>
    <t>TFT_to_AA_R-Panel承载面_R-Film_To_MF_R</t>
  </si>
  <si>
    <t>LGP_to_AA_R</t>
  </si>
  <si>
    <t>MF_U_R+Panel to MF Gap_R+TFT_to_AA_R-MF_D_R-LGP_to_MF_R</t>
  </si>
  <si>
    <t>Shading Tape_to_POL_D重合量_R</t>
  </si>
  <si>
    <t>POL_D_to_AA_R-Shading Tape_to_AA_R</t>
  </si>
  <si>
    <t>Shading Tape_to_Dif_U重合量_R</t>
  </si>
  <si>
    <t>Film_To_AA_R-Shading Tape_to_AA_R</t>
  </si>
  <si>
    <t>Boder_Top</t>
  </si>
  <si>
    <t>Back Cover_T</t>
  </si>
  <si>
    <t>单折：1*背板
   双折：2*背板</t>
  </si>
  <si>
    <t>MF_U_T</t>
  </si>
  <si>
    <t>Panel to MF Gap_T</t>
  </si>
  <si>
    <t>TFT_to_AA_T</t>
  </si>
  <si>
    <t>Border_T</t>
  </si>
  <si>
    <t>Cell_Tape+Back Cover_T+MF To BC Gap+MF_U_T+Panel to MF Gap_T+TFT_to_AA_T</t>
  </si>
  <si>
    <t>边框U</t>
  </si>
  <si>
    <t>AA~OUTLINE_T</t>
  </si>
  <si>
    <t>AA_Y/2+Border_T</t>
  </si>
  <si>
    <t>Panel承载面_T</t>
  </si>
  <si>
    <t>POL_U_to_AA_T</t>
  </si>
  <si>
    <t>POL_D_to_AA_T</t>
  </si>
  <si>
    <t>Shading Tape_to_AA_T</t>
  </si>
  <si>
    <t>黑边U_To_AA_T</t>
  </si>
  <si>
    <t>黑边D_To_AA_T</t>
  </si>
  <si>
    <t>MF_D_T</t>
  </si>
  <si>
    <t>LGP_to_MF_T</t>
  </si>
  <si>
    <t>Film_To_MF_T</t>
  </si>
  <si>
    <t>LGP_to_Fix Tape重合量_T</t>
  </si>
  <si>
    <t>≥0.7</t>
  </si>
  <si>
    <t>shading_tape_THK_T</t>
  </si>
  <si>
    <t>Film_To_AA_T</t>
  </si>
  <si>
    <t>TFT_to_AA_T-Panel承载面_T-Film_To_MF_T</t>
  </si>
  <si>
    <t>LGP_to_AA_T</t>
  </si>
  <si>
    <t>MF_U_T+Panel to MF Gap_T+TFT_to_AA_T-MF_D_T-LGP_to_MF_T</t>
  </si>
  <si>
    <t>Ref_to_AA_T</t>
  </si>
  <si>
    <r>
      <rPr>
        <sz val="10"/>
        <rFont val="Calibri"/>
        <charset val="134"/>
      </rPr>
      <t>LGP_to_AA_T-LGP_to_Fix Tape</t>
    </r>
    <r>
      <rPr>
        <sz val="10"/>
        <rFont val="宋体"/>
        <charset val="134"/>
      </rPr>
      <t>重合量</t>
    </r>
    <r>
      <rPr>
        <sz val="10"/>
        <rFont val="Calibri"/>
        <charset val="134"/>
      </rPr>
      <t>_T-0.</t>
    </r>
    <r>
      <rPr>
        <sz val="10"/>
        <rFont val="Calibri"/>
        <charset val="134"/>
      </rPr>
      <t>2</t>
    </r>
  </si>
  <si>
    <t>≥0.3</t>
  </si>
  <si>
    <t>Shading Tape_to_POL_D重合量_T</t>
  </si>
  <si>
    <t>POL_D_to_AA_T-Shading Tape_to_AA_T</t>
  </si>
  <si>
    <t>Shading Tape_to_Dif_U重合量_T</t>
  </si>
  <si>
    <t>Film_To_AA_T-Shading Tape_to_AA_T</t>
  </si>
  <si>
    <r>
      <rPr>
        <sz val="10"/>
        <rFont val="宋体"/>
        <charset val="134"/>
      </rPr>
      <t>≥</t>
    </r>
    <r>
      <rPr>
        <sz val="10"/>
        <rFont val="Calibri"/>
        <charset val="134"/>
      </rPr>
      <t>0.6/</t>
    </r>
    <r>
      <rPr>
        <sz val="10"/>
        <rFont val="宋体"/>
        <charset val="134"/>
      </rPr>
      <t>≤</t>
    </r>
    <r>
      <rPr>
        <sz val="10"/>
        <rFont val="Calibri"/>
        <charset val="134"/>
      </rPr>
      <t>-0.6</t>
    </r>
  </si>
  <si>
    <t>Boder_Down</t>
  </si>
  <si>
    <t>Cell tape_To_BC_D</t>
  </si>
  <si>
    <r>
      <rPr>
        <sz val="10"/>
        <rFont val="宋体"/>
        <charset val="134"/>
      </rPr>
      <t>≥</t>
    </r>
    <r>
      <rPr>
        <sz val="10"/>
        <rFont val="Calibri"/>
        <charset val="134"/>
      </rPr>
      <t>0.7</t>
    </r>
  </si>
  <si>
    <t>BC_To_Panel_D</t>
  </si>
  <si>
    <t>TFT_To_CF_D</t>
  </si>
  <si>
    <t>CF_To_AA_D</t>
  </si>
  <si>
    <t>Border_D</t>
  </si>
  <si>
    <t>Cell_Tape+Cell tape_To_BC_D+BC_To_Panel_D+TFT_To_CF_D+CF_To_AA_D</t>
  </si>
  <si>
    <r>
      <rPr>
        <sz val="10"/>
        <rFont val="宋体"/>
        <charset val="134"/>
      </rPr>
      <t>边框</t>
    </r>
    <r>
      <rPr>
        <sz val="10"/>
        <rFont val="Calibri"/>
        <charset val="134"/>
      </rPr>
      <t>D</t>
    </r>
  </si>
  <si>
    <t>AA~OUTLINE_D</t>
  </si>
  <si>
    <t>AA_Y/2+Border_D</t>
  </si>
  <si>
    <t>CF_To_U折_D</t>
  </si>
  <si>
    <t>≥0.5(重合+，否则-)</t>
  </si>
  <si>
    <t>Shading Tape_to_AA_D</t>
  </si>
  <si>
    <t>POL_U_to_AA_D</t>
  </si>
  <si>
    <t>考虑BM挖槽</t>
  </si>
  <si>
    <t>POL_D_to_AA_D</t>
  </si>
  <si>
    <t>黑边U_To_AA_D</t>
  </si>
  <si>
    <t>黑边D_To_AA_D</t>
  </si>
  <si>
    <t>Film_To_LED Ref_D</t>
  </si>
  <si>
    <t>≥0.75</t>
  </si>
  <si>
    <t>Film_to_U折_D</t>
  </si>
  <si>
    <t>LED_Ref_tape_THK_D</t>
  </si>
  <si>
    <t>≥0.105(0.03+0.075)</t>
  </si>
  <si>
    <t>LGP_To_Ref_tape_Gap</t>
  </si>
  <si>
    <t>LB_FPC_THK</t>
  </si>
  <si>
    <t>0.1/0.12/0.15</t>
  </si>
  <si>
    <t>LED to LB Edge</t>
  </si>
  <si>
    <r>
      <rPr>
        <sz val="10"/>
        <rFont val="Calibri"/>
        <charset val="134"/>
      </rPr>
      <t>TVS</t>
    </r>
    <r>
      <rPr>
        <sz val="10"/>
        <rFont val="宋体"/>
        <charset val="134"/>
      </rPr>
      <t>在</t>
    </r>
    <r>
      <rPr>
        <sz val="10"/>
        <rFont val="Calibri"/>
        <charset val="134"/>
      </rPr>
      <t>LED</t>
    </r>
    <r>
      <rPr>
        <sz val="10"/>
        <rFont val="宋体"/>
        <charset val="134"/>
      </rPr>
      <t>后面</t>
    </r>
    <r>
      <rPr>
        <sz val="10"/>
        <rFont val="Calibri"/>
        <charset val="134"/>
      </rPr>
      <t>:1.6min,TVS</t>
    </r>
    <r>
      <rPr>
        <sz val="10"/>
        <rFont val="宋体"/>
        <charset val="134"/>
      </rPr>
      <t>在</t>
    </r>
    <r>
      <rPr>
        <sz val="10"/>
        <rFont val="Calibri"/>
        <charset val="134"/>
      </rPr>
      <t>LED</t>
    </r>
    <r>
      <rPr>
        <sz val="10"/>
        <rFont val="宋体"/>
        <charset val="134"/>
      </rPr>
      <t>之间</t>
    </r>
    <r>
      <rPr>
        <sz val="10"/>
        <rFont val="Calibri"/>
        <charset val="134"/>
      </rPr>
      <t>:0.5min</t>
    </r>
  </si>
  <si>
    <t>U_SHAPE_GROOVE</t>
  </si>
  <si>
    <t>LED Width</t>
  </si>
  <si>
    <t>LED Length</t>
  </si>
  <si>
    <t>LED THICKNESS</t>
  </si>
  <si>
    <t>LED Number</t>
  </si>
  <si>
    <t>LED Angle</t>
  </si>
  <si>
    <t>Film_To_AA_D</t>
  </si>
  <si>
    <t>CF_To_AA_D-CF_To_U折_D-Film_to_U折_D</t>
  </si>
  <si>
    <t>LGP_To_AA_D</t>
  </si>
  <si>
    <t>Border_D-Cell_Tape-U_SHAPE_GROOVE-BC_THICKNESS-0.1-LED to LB Edge-LED Width</t>
  </si>
  <si>
    <t>考虑A/P比</t>
  </si>
  <si>
    <t>LED Pitch</t>
  </si>
  <si>
    <t>(AA_X-2*LGP_To_AA_D*tan(LED Angle))/(LED Number-1)</t>
  </si>
  <si>
    <t>A_P Ratio</t>
  </si>
  <si>
    <t>LGP_To_AA_D/LED Pitch</t>
  </si>
  <si>
    <t>TAN(60*PI()/180)</t>
  </si>
  <si>
    <t>LED_To_U折_D</t>
  </si>
  <si>
    <t>LGP_To_AA_D-Film_To_AA_D-Film_to_U折_D</t>
  </si>
  <si>
    <t>≥1.6</t>
  </si>
  <si>
    <t>U折宽度_D</t>
  </si>
  <si>
    <t>Border_D-Cell_Tape-U_SHAPE_GROOVE-Film_To_AA_D-Film_to_U折_D</t>
  </si>
  <si>
    <t>≤6</t>
  </si>
  <si>
    <t>Shading Tape_to_POL_D重合量_D</t>
  </si>
  <si>
    <t>POL_D_to_AA_D-Shading Tape_to_AA_D</t>
  </si>
  <si>
    <t>Shading Tape_to_Dif_U重合量_D</t>
  </si>
  <si>
    <t>Film_To_AA_D-Shading Tape_to_AA_D</t>
  </si>
  <si>
    <t>≥0.6</t>
  </si>
  <si>
    <r>
      <rPr>
        <sz val="10"/>
        <rFont val="Calibri"/>
        <charset val="134"/>
      </rPr>
      <t>U</t>
    </r>
    <r>
      <rPr>
        <sz val="10"/>
        <rFont val="宋体"/>
        <charset val="134"/>
      </rPr>
      <t>折</t>
    </r>
    <r>
      <rPr>
        <sz val="10"/>
        <rFont val="Calibri"/>
        <charset val="134"/>
      </rPr>
      <t>_Cell_Tape</t>
    </r>
  </si>
  <si>
    <r>
      <rPr>
        <sz val="10"/>
        <rFont val="Calibri"/>
        <charset val="134"/>
      </rPr>
      <t>Bent</t>
    </r>
    <r>
      <rPr>
        <sz val="10"/>
        <rFont val="宋体"/>
        <charset val="134"/>
      </rPr>
      <t>不内推填写</t>
    </r>
  </si>
  <si>
    <t>Outline_Y</t>
  </si>
  <si>
    <t>AA~OUTLINE_T+AA~OUTLINE_D</t>
  </si>
  <si>
    <t>Outline_X</t>
  </si>
  <si>
    <t>AA~OUTLINE_L+AA~OUTLINE_R</t>
  </si>
  <si>
    <t>Outline_Y_PCB</t>
  </si>
  <si>
    <r>
      <rPr>
        <sz val="10"/>
        <rFont val="Calibri"/>
        <charset val="134"/>
      </rPr>
      <t>AA~OUTLINE_T+AA~OUTLINE_D+U</t>
    </r>
    <r>
      <rPr>
        <sz val="10"/>
        <rFont val="宋体"/>
        <charset val="134"/>
      </rPr>
      <t>折</t>
    </r>
    <r>
      <rPr>
        <sz val="10"/>
        <rFont val="Calibri"/>
        <charset val="134"/>
      </rPr>
      <t>_Cell_Tape</t>
    </r>
  </si>
  <si>
    <t>PCB_Outline_X</t>
  </si>
  <si>
    <t>PCB_Outline_Y</t>
  </si>
  <si>
    <t>PCB_To_Outline_X_L_SB</t>
  </si>
  <si>
    <t>PCB_To_Outline_Y_D_SB</t>
  </si>
  <si>
    <t>CNT  X→AA</t>
  </si>
  <si>
    <t>CNT  Y→AA</t>
  </si>
  <si>
    <t>CNT  X_R→Outline</t>
  </si>
  <si>
    <r>
      <rPr>
        <sz val="10"/>
        <rFont val="Calibri"/>
        <charset val="134"/>
      </rPr>
      <t>AA~OUTLINE_</t>
    </r>
    <r>
      <rPr>
        <sz val="10"/>
        <rFont val="Calibri"/>
        <charset val="134"/>
      </rPr>
      <t>L</t>
    </r>
    <r>
      <rPr>
        <sz val="10"/>
        <rFont val="Calibri"/>
        <charset val="134"/>
      </rPr>
      <t>-CNT  X</t>
    </r>
    <r>
      <rPr>
        <sz val="10"/>
        <rFont val="宋体"/>
        <charset val="134"/>
      </rPr>
      <t>→</t>
    </r>
    <r>
      <rPr>
        <sz val="10"/>
        <rFont val="Calibri"/>
        <charset val="134"/>
      </rPr>
      <t>AA</t>
    </r>
  </si>
  <si>
    <t>CNT  Y_D→Outline</t>
  </si>
  <si>
    <t>AA~OUTLINE_D-CNT  Y→AA</t>
  </si>
  <si>
    <t>Panel</t>
  </si>
  <si>
    <t>Panel Pad Length</t>
  </si>
  <si>
    <t>Panel Pad~TFT Edge</t>
  </si>
  <si>
    <t>0.2mm Min.</t>
  </si>
  <si>
    <t>FPC Panel PAD~Panel Pad</t>
  </si>
  <si>
    <t>The Shift of FPC Panel Pad~Panel Pad(Y-Direction)</t>
  </si>
  <si>
    <t>FPC Panel Pad Length</t>
  </si>
  <si>
    <t>Panel Pad Length+Panel Pad~TFT Edge+FPC Panel PAD~Panel Pad+0.3</t>
  </si>
  <si>
    <t>Panel Pad Length+Panel Panel~TFT Edge+0.3</t>
  </si>
  <si>
    <t>Panel Pad Pitch</t>
  </si>
  <si>
    <t>FPC Panel Pad Pitch</t>
  </si>
  <si>
    <t>Panel Pad Width</t>
  </si>
  <si>
    <t>FPC Panel Pad Width</t>
  </si>
  <si>
    <t>Panel Pad Number</t>
  </si>
  <si>
    <t>1. Inculde Dummy Pad
   Dummy Pad &gt;=2
     2. Inculde Mark Pad</t>
  </si>
  <si>
    <t>FPC Pad Number</t>
  </si>
  <si>
    <t>F mark_Length</t>
  </si>
  <si>
    <t>0.3min</t>
  </si>
  <si>
    <t>Panel Align Mark To F Mark</t>
  </si>
  <si>
    <t>Default 0.375 (Follow LCM Rule)</t>
  </si>
  <si>
    <t>Panel Align Mark_Y_U_Pad Edge</t>
  </si>
  <si>
    <t>0.15min</t>
  </si>
  <si>
    <t>Panel Align Mark边长</t>
  </si>
  <si>
    <t>FPC Edge To Align Mark_X</t>
  </si>
  <si>
    <t>0.3m Min.</t>
  </si>
  <si>
    <t>FPC Thickness</t>
  </si>
  <si>
    <t>Panel First Pad location</t>
  </si>
  <si>
    <t xml:space="preserve">Panel First Pad location To AA_Center </t>
  </si>
  <si>
    <r>
      <rPr>
        <sz val="10"/>
        <rFont val="Calibri"/>
        <charset val="134"/>
      </rPr>
      <t>Pitch of Panel Pad_1st</t>
    </r>
    <r>
      <rPr>
        <sz val="10"/>
        <rFont val="宋体"/>
        <charset val="134"/>
      </rPr>
      <t>→</t>
    </r>
    <r>
      <rPr>
        <sz val="10"/>
        <rFont val="Calibri"/>
        <charset val="134"/>
      </rPr>
      <t>2nd</t>
    </r>
  </si>
  <si>
    <r>
      <rPr>
        <sz val="10"/>
        <rFont val="Calibri"/>
        <charset val="134"/>
      </rPr>
      <t>Pitch of Panel Pad_2nd</t>
    </r>
    <r>
      <rPr>
        <sz val="10"/>
        <rFont val="宋体"/>
        <charset val="134"/>
      </rPr>
      <t>→</t>
    </r>
    <r>
      <rPr>
        <sz val="10"/>
        <rFont val="Calibri"/>
        <charset val="134"/>
      </rPr>
      <t>3rd</t>
    </r>
  </si>
  <si>
    <r>
      <rPr>
        <sz val="10"/>
        <rFont val="Calibri"/>
        <charset val="134"/>
      </rPr>
      <t>Pitch of Panel Pad_3rd</t>
    </r>
    <r>
      <rPr>
        <sz val="10"/>
        <rFont val="宋体"/>
        <charset val="134"/>
      </rPr>
      <t>→</t>
    </r>
    <r>
      <rPr>
        <sz val="10"/>
        <rFont val="Calibri"/>
        <charset val="134"/>
      </rPr>
      <t>4th</t>
    </r>
  </si>
  <si>
    <t>FPC背面PI宽度</t>
  </si>
  <si>
    <t>0.3~0.7</t>
  </si>
  <si>
    <t>PAD_U折</t>
  </si>
  <si>
    <t>Panel Pad Length+Panel Pad~TFT Edge+BC_To_Panel_D</t>
  </si>
  <si>
    <t>PCB</t>
  </si>
  <si>
    <t>PCB Pad Length</t>
  </si>
  <si>
    <t>固定值（模组Rule：2.0mm）</t>
  </si>
  <si>
    <t>FPC PCB Pad Length</t>
  </si>
  <si>
    <t>PCB Pad Length+0.2</t>
  </si>
  <si>
    <t>固定值（模组Rule：2.2mm）</t>
  </si>
  <si>
    <t>PCB Pad Pitch</t>
  </si>
  <si>
    <t>0.27mm Min.</t>
  </si>
  <si>
    <t>FPC PCB Pad Pitch</t>
  </si>
  <si>
    <t>PCB Pad Width</t>
  </si>
  <si>
    <t>0.13min</t>
  </si>
  <si>
    <t>FPC PCB Pad Width</t>
  </si>
  <si>
    <t>PCB Pad Number</t>
  </si>
  <si>
    <t>Not Inculde Dummy Pad or Mark</t>
  </si>
  <si>
    <t>PCB Dummy Pad Number</t>
  </si>
  <si>
    <t>固定值  Width 2mm typ.(Mark~开窗)</t>
  </si>
  <si>
    <t>FPC PCB Pad Number</t>
  </si>
  <si>
    <t>FPC_PCB_Edge To Align Mark_X</t>
  </si>
  <si>
    <t>0.3mm Min.</t>
  </si>
  <si>
    <t>PCB Pad Area~PCB Edge</t>
  </si>
  <si>
    <t>0.7mm Min.</t>
  </si>
  <si>
    <t>PCB First Pad Location</t>
  </si>
  <si>
    <t>Pitch of PCB Pad_1st→2nd</t>
  </si>
  <si>
    <t>Pitch of Panel Pad_1st→2nd</t>
  </si>
  <si>
    <t>Pitch of PCB Pad_2nd→3rd</t>
  </si>
  <si>
    <t>Pitch of Panel Pad_2nd→3rd</t>
  </si>
  <si>
    <t>Pitch of PCB Pad_3rd→4th</t>
  </si>
  <si>
    <t>Pitch of Panel Pad_3rd→4th</t>
  </si>
  <si>
    <t>PCB_U折</t>
  </si>
  <si>
    <t>PCB Pad Length+PCB Pad Area~PCB Edge+PCB_To_Outline_Y_D_SB-Cell_Tape-Cell tape_To_BC_D</t>
  </si>
  <si>
    <t>属性</t>
  </si>
  <si>
    <r>
      <rPr>
        <sz val="10"/>
        <rFont val="Calibri"/>
        <charset val="134"/>
      </rPr>
      <t>Light Bar</t>
    </r>
    <r>
      <rPr>
        <sz val="10"/>
        <rFont val="宋体"/>
        <charset val="134"/>
      </rPr>
      <t>材质</t>
    </r>
  </si>
  <si>
    <t>字符串</t>
  </si>
  <si>
    <r>
      <rPr>
        <sz val="10"/>
        <rFont val="Calibri"/>
        <charset val="134"/>
      </rPr>
      <t>Back Cover</t>
    </r>
    <r>
      <rPr>
        <sz val="10"/>
        <rFont val="宋体"/>
        <charset val="134"/>
      </rPr>
      <t>材质</t>
    </r>
  </si>
  <si>
    <r>
      <rPr>
        <sz val="10"/>
        <rFont val="Calibri"/>
        <charset val="134"/>
      </rPr>
      <t>Lgp</t>
    </r>
    <r>
      <rPr>
        <sz val="10"/>
        <rFont val="宋体"/>
        <charset val="134"/>
      </rPr>
      <t>材质</t>
    </r>
  </si>
  <si>
    <r>
      <rPr>
        <sz val="10"/>
        <rFont val="Calibri"/>
        <charset val="134"/>
      </rPr>
      <t>Mold Frame</t>
    </r>
    <r>
      <rPr>
        <sz val="10"/>
        <rFont val="宋体"/>
        <charset val="134"/>
      </rPr>
      <t>材质</t>
    </r>
  </si>
  <si>
    <r>
      <rPr>
        <sz val="10"/>
        <rFont val="Calibri"/>
        <charset val="134"/>
      </rPr>
      <t>Diffuser Up</t>
    </r>
    <r>
      <rPr>
        <sz val="10"/>
        <rFont val="宋体"/>
        <charset val="134"/>
      </rPr>
      <t>材质</t>
    </r>
  </si>
  <si>
    <r>
      <rPr>
        <sz val="10"/>
        <rFont val="Calibri"/>
        <charset val="134"/>
      </rPr>
      <t>Prism UP</t>
    </r>
    <r>
      <rPr>
        <sz val="10"/>
        <rFont val="宋体"/>
        <charset val="134"/>
      </rPr>
      <t>材质</t>
    </r>
  </si>
  <si>
    <r>
      <rPr>
        <sz val="10"/>
        <rFont val="Calibri"/>
        <charset val="134"/>
      </rPr>
      <t>Prism Down</t>
    </r>
    <r>
      <rPr>
        <sz val="10"/>
        <rFont val="宋体"/>
        <charset val="134"/>
      </rPr>
      <t>材质</t>
    </r>
  </si>
  <si>
    <r>
      <rPr>
        <sz val="10"/>
        <rFont val="Calibri"/>
        <charset val="134"/>
      </rPr>
      <t>Diffuser Down</t>
    </r>
    <r>
      <rPr>
        <sz val="10"/>
        <rFont val="宋体"/>
        <charset val="134"/>
      </rPr>
      <t>材质</t>
    </r>
  </si>
  <si>
    <r>
      <rPr>
        <sz val="10"/>
        <rFont val="Calibri"/>
        <charset val="134"/>
      </rPr>
      <t>Reflector</t>
    </r>
    <r>
      <rPr>
        <sz val="10"/>
        <rFont val="宋体"/>
        <charset val="134"/>
      </rPr>
      <t>材质</t>
    </r>
  </si>
  <si>
    <r>
      <rPr>
        <sz val="10"/>
        <rFont val="Calibri"/>
        <charset val="134"/>
      </rPr>
      <t xml:space="preserve">Cell Tape </t>
    </r>
    <r>
      <rPr>
        <sz val="10"/>
        <rFont val="宋体"/>
        <charset val="134"/>
      </rPr>
      <t>上材质</t>
    </r>
  </si>
  <si>
    <r>
      <rPr>
        <sz val="10"/>
        <rFont val="Calibri"/>
        <charset val="134"/>
      </rPr>
      <t xml:space="preserve">Cell Tape </t>
    </r>
    <r>
      <rPr>
        <sz val="10"/>
        <rFont val="宋体"/>
        <charset val="134"/>
      </rPr>
      <t>下材质</t>
    </r>
  </si>
  <si>
    <r>
      <rPr>
        <sz val="10"/>
        <rFont val="Calibri"/>
        <charset val="134"/>
      </rPr>
      <t xml:space="preserve">Cell Tape </t>
    </r>
    <r>
      <rPr>
        <sz val="10"/>
        <rFont val="宋体"/>
        <charset val="134"/>
      </rPr>
      <t>左材质</t>
    </r>
  </si>
  <si>
    <r>
      <rPr>
        <sz val="10"/>
        <rFont val="Calibri"/>
        <charset val="134"/>
      </rPr>
      <t xml:space="preserve">Cell Tape </t>
    </r>
    <r>
      <rPr>
        <sz val="10"/>
        <rFont val="宋体"/>
        <charset val="134"/>
      </rPr>
      <t>右材质</t>
    </r>
  </si>
  <si>
    <t>其他</t>
  </si>
  <si>
    <t>DP_Cell Tape to PCB_X</t>
  </si>
  <si>
    <r>
      <rPr>
        <sz val="10"/>
        <rFont val="Calibri"/>
        <charset val="134"/>
      </rPr>
      <t>U</t>
    </r>
    <r>
      <rPr>
        <sz val="10"/>
        <rFont val="宋体"/>
        <charset val="134"/>
      </rPr>
      <t>折</t>
    </r>
    <r>
      <rPr>
        <sz val="10"/>
        <rFont val="Calibri"/>
        <charset val="134"/>
      </rPr>
      <t>_to_BC_X Gap</t>
    </r>
  </si>
  <si>
    <t>*蓝色为成本评估时上传全生命管理周期系统数据，可筛选后提交</t>
  </si>
  <si>
    <t>Array担当</t>
  </si>
  <si>
    <t>CF担当</t>
  </si>
  <si>
    <t>Cell担当</t>
  </si>
  <si>
    <t>电路担当</t>
  </si>
  <si>
    <t>Touch担当</t>
  </si>
  <si>
    <t>机光担当</t>
  </si>
  <si>
    <t>期望完成日期</t>
  </si>
  <si>
    <t>Cut数</t>
  </si>
  <si>
    <t>Glass利用率</t>
  </si>
  <si>
    <t>COG/COF structure</t>
  </si>
  <si>
    <t>例：96</t>
  </si>
  <si>
    <t>例：92%</t>
  </si>
  <si>
    <t>例：COG</t>
  </si>
  <si>
    <t>Process</t>
  </si>
  <si>
    <t>物料</t>
  </si>
  <si>
    <t>可选/替代性</t>
  </si>
  <si>
    <t>物料号</t>
  </si>
  <si>
    <t>规格/型号</t>
  </si>
  <si>
    <t>用量</t>
  </si>
  <si>
    <t>供应商</t>
  </si>
  <si>
    <t>用量基数</t>
  </si>
  <si>
    <t>Single用量</t>
  </si>
  <si>
    <t>客户开发主导</t>
  </si>
  <si>
    <t>Mask数</t>
  </si>
  <si>
    <t>例：6Mask</t>
  </si>
  <si>
    <t>Array</t>
  </si>
  <si>
    <t>Shot数</t>
  </si>
  <si>
    <t>例：6 Shot</t>
  </si>
  <si>
    <t>S/D工艺</t>
  </si>
  <si>
    <t>例：S/D：cu,</t>
  </si>
  <si>
    <t>Gate工艺</t>
  </si>
  <si>
    <t>例：Gate:Al</t>
  </si>
  <si>
    <t>是否含有机膜</t>
  </si>
  <si>
    <t>例：有/无</t>
  </si>
  <si>
    <t>Panel完成品</t>
  </si>
  <si>
    <t>共用请提供</t>
  </si>
  <si>
    <t>基数10000</t>
  </si>
  <si>
    <t>Array半成品</t>
  </si>
  <si>
    <t>Panel含替代料的只填一个用量</t>
  </si>
  <si>
    <t>Glass</t>
  </si>
  <si>
    <t>例：0.5t</t>
  </si>
  <si>
    <t>Target</t>
  </si>
  <si>
    <t>Gas</t>
  </si>
  <si>
    <t>Chem</t>
  </si>
  <si>
    <t>CF半成品</t>
  </si>
  <si>
    <t>CF</t>
  </si>
  <si>
    <t>PR</t>
  </si>
  <si>
    <t>PR BM</t>
  </si>
  <si>
    <t>PR R</t>
  </si>
  <si>
    <t>PR G</t>
  </si>
  <si>
    <t>PR B</t>
  </si>
  <si>
    <t>PR W</t>
  </si>
  <si>
    <t>PR OC</t>
  </si>
  <si>
    <t>PR PS</t>
  </si>
  <si>
    <t>Developer</t>
  </si>
  <si>
    <t>Thinner</t>
  </si>
  <si>
    <t>Initial Detergent</t>
  </si>
  <si>
    <t>OC Detergent</t>
  </si>
  <si>
    <t>ITO</t>
  </si>
  <si>
    <t>Sensor半成品</t>
  </si>
  <si>
    <t>sensor</t>
  </si>
  <si>
    <t>In-Cell放在Array</t>
  </si>
  <si>
    <t>Cell半成品</t>
  </si>
  <si>
    <t>Cell</t>
  </si>
  <si>
    <t>Sliming前（TFT+CF）</t>
  </si>
  <si>
    <t>例：0.5+0.5 T</t>
  </si>
  <si>
    <t>Sliming后（TFT+CF）</t>
  </si>
  <si>
    <t>0.2+0.2T</t>
  </si>
  <si>
    <t>Sliming要求</t>
  </si>
  <si>
    <t>是否镀膜/抛光</t>
  </si>
  <si>
    <t>PI工艺</t>
  </si>
  <si>
    <t>例：Coater/Inkjet</t>
  </si>
  <si>
    <t>Rubbing工艺</t>
  </si>
  <si>
    <t>例：OA</t>
  </si>
  <si>
    <t>LC</t>
  </si>
  <si>
    <t>PI</t>
  </si>
  <si>
    <t>Sealant</t>
  </si>
  <si>
    <t>Others</t>
  </si>
  <si>
    <t>Si-Ball</t>
  </si>
  <si>
    <t>Au-Ball</t>
  </si>
  <si>
    <t>APR Plate</t>
  </si>
  <si>
    <t>MDL</t>
  </si>
  <si>
    <t>Pol</t>
  </si>
  <si>
    <t>上Pol</t>
  </si>
  <si>
    <t>下Pol</t>
  </si>
  <si>
    <t>S-IC</t>
  </si>
  <si>
    <t>电路</t>
  </si>
  <si>
    <t>S-IC可选2</t>
  </si>
  <si>
    <t>可选2</t>
  </si>
  <si>
    <t>S-IC可选3</t>
  </si>
  <si>
    <t>可选3</t>
  </si>
  <si>
    <t>G-IC</t>
  </si>
  <si>
    <t>G-IC可选2</t>
  </si>
  <si>
    <t>G-IC可选3</t>
  </si>
  <si>
    <t>PCBA</t>
  </si>
  <si>
    <t>FPC/FFC</t>
  </si>
  <si>
    <t>Touch FPC</t>
  </si>
  <si>
    <t>非新开请提供</t>
  </si>
  <si>
    <t>X-PCB</t>
  </si>
  <si>
    <t>C-PCB</t>
  </si>
  <si>
    <t>Touch IC</t>
  </si>
  <si>
    <t>Touch IC可选2</t>
  </si>
  <si>
    <t>Touch IC可选3</t>
  </si>
  <si>
    <t>MCU</t>
  </si>
  <si>
    <t>MCU可选2</t>
  </si>
  <si>
    <t>MCU可选3</t>
  </si>
  <si>
    <t>Crystal</t>
  </si>
  <si>
    <t>Crystal可选2</t>
  </si>
  <si>
    <t>Crystal可选3</t>
  </si>
  <si>
    <t>TCON</t>
  </si>
  <si>
    <t>TCON可选2</t>
  </si>
  <si>
    <t>TCON可选3</t>
  </si>
  <si>
    <t>PMIC</t>
  </si>
  <si>
    <t>PMIC可选2</t>
  </si>
  <si>
    <t>PMIC可选3</t>
  </si>
  <si>
    <t>Memory/EEPROM</t>
  </si>
  <si>
    <t>Memory/EEPROM可选2</t>
  </si>
  <si>
    <t>Memory/EEPROM可选3</t>
  </si>
  <si>
    <t>LED Driver IC</t>
  </si>
  <si>
    <t>LED Driver IC可选2</t>
  </si>
  <si>
    <t>LED Driver IC可选3</t>
  </si>
  <si>
    <t>Level Shifter</t>
  </si>
  <si>
    <t>L/S可选2</t>
  </si>
  <si>
    <t>L/S可选3</t>
  </si>
  <si>
    <t>OP</t>
  </si>
  <si>
    <t>OP可选2</t>
  </si>
  <si>
    <t>OP可选3</t>
  </si>
  <si>
    <t>P-Gamma</t>
  </si>
  <si>
    <t>P-Gamma可选2</t>
  </si>
  <si>
    <t>P-Gamma可选3</t>
  </si>
  <si>
    <t>Input CNT</t>
  </si>
  <si>
    <t>Input CNT可选2</t>
  </si>
  <si>
    <t>Input CNT可选3</t>
  </si>
  <si>
    <t>LED CNT</t>
  </si>
  <si>
    <t>LED CNT可选2</t>
  </si>
  <si>
    <t>LED CNT可选3</t>
  </si>
  <si>
    <t>FFC CNT</t>
  </si>
  <si>
    <t>FFC CNT可选2</t>
  </si>
  <si>
    <t>FFC CNT可选3</t>
  </si>
  <si>
    <t>VR/DVR</t>
  </si>
  <si>
    <t>VR/DVR可选2</t>
  </si>
  <si>
    <t>VR/DVR可选3</t>
  </si>
  <si>
    <t>LDO</t>
  </si>
  <si>
    <t>定供&amp;特殊器件时请填写</t>
  </si>
  <si>
    <t>Inductor</t>
  </si>
  <si>
    <t>Fuse</t>
  </si>
  <si>
    <t>Bead</t>
  </si>
  <si>
    <t>EMI Filter</t>
  </si>
  <si>
    <t>二三极管</t>
  </si>
  <si>
    <t>MLCC</t>
  </si>
  <si>
    <t>Resister</t>
  </si>
  <si>
    <t>焊锡膏</t>
  </si>
  <si>
    <t>其他材料请自行增减行添加</t>
  </si>
  <si>
    <t>其他被动料</t>
  </si>
  <si>
    <t>参考机种或各个用量</t>
  </si>
  <si>
    <t>ACF,UV,Silicon Resin</t>
  </si>
  <si>
    <t>BLU</t>
  </si>
  <si>
    <t>功耗等规格</t>
  </si>
  <si>
    <t>机光</t>
  </si>
  <si>
    <t>BLU部品(Light Bar)</t>
  </si>
  <si>
    <t>LED封装型号/粉种及波长/是否低蓝光</t>
  </si>
  <si>
    <t>对标机种(含厂家)</t>
  </si>
  <si>
    <t>亮度档(Typ)(lm)</t>
  </si>
  <si>
    <t>对标机种(亮度档)</t>
  </si>
  <si>
    <t>LED颗数(ea)</t>
  </si>
  <si>
    <t>电压Max(对应电流)(V)</t>
  </si>
  <si>
    <t>TVS数量(ea)</t>
  </si>
  <si>
    <t>FPC尺寸长(mm)</t>
  </si>
  <si>
    <t>FPC尺寸宽（含金手指伸出去的部分）(mm)</t>
  </si>
  <si>
    <t>特殊要求</t>
  </si>
  <si>
    <t>无</t>
  </si>
  <si>
    <t>BLU部品(Back Cover)</t>
  </si>
  <si>
    <t>Back Cover_材质</t>
  </si>
  <si>
    <t>重量（全尺寸）(g)</t>
  </si>
  <si>
    <t>重量（镂空尺寸）(g)</t>
  </si>
  <si>
    <t>单/双折边设计(L/R/U/D)</t>
  </si>
  <si>
    <t>有无Punch</t>
  </si>
  <si>
    <t>是否有内定位孔</t>
  </si>
  <si>
    <t>有</t>
  </si>
  <si>
    <t>PCBA支架耳朵</t>
  </si>
  <si>
    <t>系统锁附耳朵</t>
  </si>
  <si>
    <t>BLU部品(LGP)</t>
  </si>
  <si>
    <t>LGP_工艺(热压/注塑)+材质(PMMA/PC)</t>
  </si>
  <si>
    <t>尺寸(长)(mm)</t>
  </si>
  <si>
    <t>尺寸(宽)(mm)</t>
  </si>
  <si>
    <t>EN/MP是否Aging</t>
  </si>
  <si>
    <t>EN/MP均Aging</t>
  </si>
  <si>
    <t>BLU部品(Mold Frame)</t>
  </si>
  <si>
    <t>Mold Frame_材质+颜色</t>
  </si>
  <si>
    <t>分体式/一体式</t>
  </si>
  <si>
    <t>一体式</t>
  </si>
  <si>
    <t>胶框设计形状(4边还是3边，一条边，还是3边+1边设计)</t>
  </si>
  <si>
    <t>3边</t>
  </si>
  <si>
    <t>BLU部品(Diffuser Up)</t>
  </si>
  <si>
    <t>Diffuser Up_原材型号</t>
  </si>
  <si>
    <t>是否限制裁切方向</t>
  </si>
  <si>
    <t>不限制</t>
  </si>
  <si>
    <t>印刷油墨(有/无)</t>
  </si>
  <si>
    <t>BLU部品(Prism UP)</t>
  </si>
  <si>
    <t>Prism UP_原材型号</t>
  </si>
  <si>
    <t>BLU部品(Prism Down)</t>
  </si>
  <si>
    <t>Prism Down_原材型号</t>
  </si>
  <si>
    <t>BLU部品(Diffuser Down)</t>
  </si>
  <si>
    <t>Diffuser Down_原材型号</t>
  </si>
  <si>
    <t>BLU部品(Reflector)</t>
  </si>
  <si>
    <t>Reflector_原材型号</t>
  </si>
  <si>
    <t>BLU部品(Tape)</t>
  </si>
  <si>
    <t>灯条与LGP组装方式（normal组装or 灯组导）</t>
  </si>
  <si>
    <t>口子胶类型（三段式or拼接式or一体式）</t>
  </si>
  <si>
    <t>三段式</t>
  </si>
  <si>
    <t>BLU部品</t>
  </si>
  <si>
    <t>客户特殊规格管控要求</t>
  </si>
  <si>
    <t>SC</t>
  </si>
  <si>
    <t>Bezel/屏蔽罩</t>
  </si>
  <si>
    <t>Cell Tape 上</t>
  </si>
  <si>
    <t>Cell Tape 上_原材型号</t>
  </si>
  <si>
    <t>Cell Tape 下</t>
  </si>
  <si>
    <t>Cell Tape 下_原材型号</t>
  </si>
  <si>
    <t>Cell Tape 左</t>
  </si>
  <si>
    <t>Cell Tape 左_原材型号</t>
  </si>
  <si>
    <t>Cell Tape 右</t>
  </si>
  <si>
    <t>Cell Tape 右_原材型号</t>
  </si>
  <si>
    <t>Packing</t>
  </si>
  <si>
    <t>Packing Assy</t>
  </si>
  <si>
    <t>"</t>
  </si>
  <si>
    <t>Light Bar</t>
  </si>
  <si>
    <t>辅材</t>
  </si>
  <si>
    <t>請填入黃色部分</t>
  </si>
  <si>
    <t>Summary</t>
  </si>
  <si>
    <t>判断</t>
  </si>
  <si>
    <t>客戶規格</t>
  </si>
  <si>
    <t>評估結果</t>
  </si>
  <si>
    <t>Mechanical:</t>
  </si>
  <si>
    <t>Lenovo客户</t>
  </si>
  <si>
    <t>HP客户</t>
  </si>
  <si>
    <t>Dell客户</t>
  </si>
  <si>
    <t>ASUS客户</t>
  </si>
  <si>
    <t>Active Area_X</t>
  </si>
  <si>
    <t xml:space="preserve">Active Area size (X) </t>
  </si>
  <si>
    <t>Active Area</t>
  </si>
  <si>
    <t>Display Area</t>
  </si>
  <si>
    <t>Active Area_Y</t>
  </si>
  <si>
    <t xml:space="preserve">Active Area size (Y) </t>
  </si>
  <si>
    <t>Outline Dimension_X</t>
  </si>
  <si>
    <t>TYP.</t>
  </si>
  <si>
    <t>Display module outline (X)</t>
  </si>
  <si>
    <t>Outline Dimension</t>
  </si>
  <si>
    <t>Module Size</t>
  </si>
  <si>
    <t>Module size</t>
  </si>
  <si>
    <t>Dimension</t>
  </si>
  <si>
    <t>Outline Dimension_Y (Without FPC)</t>
  </si>
  <si>
    <t>Display body outline (Y)</t>
  </si>
  <si>
    <t>Outline Dimension_Y (With FPC)</t>
  </si>
  <si>
    <t>Display module outline (Y)</t>
  </si>
  <si>
    <r>
      <rPr>
        <sz val="11"/>
        <color theme="1"/>
        <rFont val="Calibri"/>
        <charset val="134"/>
      </rPr>
      <t>Thickness (Body)(Max)</t>
    </r>
    <r>
      <rPr>
        <sz val="11"/>
        <color rgb="FF0000CC"/>
        <rFont val="Calibri"/>
        <charset val="134"/>
      </rPr>
      <t>(U/L/R)</t>
    </r>
  </si>
  <si>
    <t>Thickness (Body part) (include all parts)</t>
  </si>
  <si>
    <t>Module thickness</t>
  </si>
  <si>
    <t>tolerance</t>
  </si>
  <si>
    <r>
      <rPr>
        <sz val="11"/>
        <color theme="1"/>
        <rFont val="Calibri"/>
        <charset val="134"/>
      </rPr>
      <t>Thickness (Body)(Max)</t>
    </r>
    <r>
      <rPr>
        <sz val="11"/>
        <color rgb="FF0000CC"/>
        <rFont val="Calibri"/>
        <charset val="134"/>
      </rPr>
      <t>(D)W/O PCB</t>
    </r>
  </si>
  <si>
    <t>Thickness (PCB)(Max)</t>
  </si>
  <si>
    <t>TYP.(W/O CNT)</t>
  </si>
  <si>
    <t>Thickness (PCB part) (include all parts)</t>
  </si>
  <si>
    <t>TYP.(W/I CNT)</t>
  </si>
  <si>
    <t>Module Border (L)</t>
  </si>
  <si>
    <t>Display body outline (include all parts) – AA (left)</t>
  </si>
  <si>
    <t xml:space="preserve">Border </t>
  </si>
  <si>
    <t>border</t>
  </si>
  <si>
    <t>Module Border (R)</t>
  </si>
  <si>
    <t>Display body outline (include all parts) – AA (right)</t>
  </si>
  <si>
    <t>Module Border (U)</t>
  </si>
  <si>
    <t>Display body outline (include all parts) – AA (top)</t>
  </si>
  <si>
    <t>Module Border (D) (Without FPC)</t>
  </si>
  <si>
    <t>Display body outline (include all parts) – AA (bottom)</t>
  </si>
  <si>
    <t>Module Border (D)(With FPC)</t>
  </si>
  <si>
    <t>CF Glass Thickness</t>
  </si>
  <si>
    <t>Glass thickness</t>
  </si>
  <si>
    <t>TFT Glass Thickness</t>
  </si>
  <si>
    <t xml:space="preserve">Metal bezel thickness </t>
  </si>
  <si>
    <t>Back Cover Material</t>
  </si>
  <si>
    <t xml:space="preserve">B/L structure </t>
  </si>
  <si>
    <t>structure</t>
  </si>
  <si>
    <t>LCD Module weight (Max)</t>
  </si>
  <si>
    <t>Weight</t>
  </si>
  <si>
    <t>Warpage</t>
  </si>
  <si>
    <t>Optical:</t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</si>
  <si>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宋体"/>
        <charset val="134"/>
      </rPr>
      <t>颗数</t>
    </r>
  </si>
  <si>
    <t>LED</t>
  </si>
  <si>
    <t xml:space="preserve">Luminance </t>
  </si>
  <si>
    <t>Brightness</t>
  </si>
  <si>
    <t>Luminance</t>
  </si>
  <si>
    <t>Color Gamut</t>
  </si>
  <si>
    <t>sRGB100%</t>
  </si>
  <si>
    <t>Gamut</t>
  </si>
  <si>
    <t>Color gamut</t>
  </si>
  <si>
    <t>CIE1931</t>
  </si>
  <si>
    <t>CIE1976</t>
  </si>
  <si>
    <t>NTSC</t>
  </si>
  <si>
    <t>sRGB</t>
  </si>
  <si>
    <t>DCI-P3</t>
  </si>
  <si>
    <t>Backlight Power Consumption(100% Duty)</t>
  </si>
  <si>
    <t>MAX</t>
  </si>
  <si>
    <t>Backlight Power</t>
  </si>
  <si>
    <t>Power</t>
  </si>
  <si>
    <t>Backlight Power Consumption(60nit)</t>
  </si>
  <si>
    <t>Power Consumption Total at</t>
  </si>
  <si>
    <t>Power EBL</t>
  </si>
  <si>
    <t>power</t>
  </si>
  <si>
    <t>Backlight Power Consumption(80nit)</t>
  </si>
  <si>
    <t>Backlight Power Consumption(150nit)</t>
  </si>
  <si>
    <t>Backlight Power Consumption(200nit)</t>
  </si>
  <si>
    <t>Backlight Power Consumption(250nit)</t>
  </si>
  <si>
    <r>
      <rPr>
        <sz val="11"/>
        <color theme="1"/>
        <rFont val="宋体"/>
        <charset val="134"/>
      </rPr>
      <t>蓝光占比</t>
    </r>
    <r>
      <rPr>
        <sz val="11"/>
        <color theme="1"/>
        <rFont val="Calibri"/>
        <charset val="134"/>
      </rPr>
      <t>(Low blue light)</t>
    </r>
  </si>
  <si>
    <t>`</t>
  </si>
  <si>
    <t>Low blue light</t>
  </si>
  <si>
    <t>blue</t>
  </si>
  <si>
    <t>毒害系数(Low blue light)</t>
  </si>
  <si>
    <t>White Temperature</t>
  </si>
  <si>
    <t>temperature</t>
  </si>
  <si>
    <r>
      <rPr>
        <sz val="11"/>
        <color theme="1"/>
        <rFont val="宋体"/>
        <charset val="134"/>
      </rPr>
      <t>客户</t>
    </r>
    <r>
      <rPr>
        <sz val="11"/>
        <color theme="1"/>
        <rFont val="Calibri"/>
        <charset val="134"/>
      </rPr>
      <t>Spec(</t>
    </r>
    <r>
      <rPr>
        <sz val="11"/>
        <color theme="1"/>
        <rFont val="宋体"/>
        <charset val="134"/>
      </rPr>
      <t>模组</t>
    </r>
    <r>
      <rPr>
        <sz val="11"/>
        <color theme="1"/>
        <rFont val="Calibri"/>
        <charset val="134"/>
      </rPr>
      <t>)</t>
    </r>
  </si>
  <si>
    <t>LED颗数</t>
  </si>
  <si>
    <t>串并数</t>
  </si>
  <si>
    <t>双晶LED颗数</t>
  </si>
  <si>
    <t>检讨机种色域</t>
  </si>
  <si>
    <t>模組亮度推算方式</t>
  </si>
  <si>
    <r>
      <rPr>
        <sz val="11"/>
        <color theme="1"/>
        <rFont val="Calibri"/>
        <charset val="134"/>
      </rPr>
      <t>Cell</t>
    </r>
    <r>
      <rPr>
        <sz val="11"/>
        <color theme="1"/>
        <rFont val="宋体"/>
        <charset val="134"/>
      </rPr>
      <t>模拟</t>
    </r>
  </si>
  <si>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色坐标</t>
    </r>
    <r>
      <rPr>
        <sz val="11"/>
        <color theme="1"/>
        <rFont val="Calibri"/>
        <charset val="134"/>
      </rPr>
      <t>(</t>
    </r>
    <r>
      <rPr>
        <sz val="11"/>
        <color theme="1"/>
        <rFont val="宋体"/>
        <charset val="134"/>
      </rPr>
      <t>参考</t>
    </r>
    <r>
      <rPr>
        <sz val="11"/>
        <color theme="1"/>
        <rFont val="Calibri"/>
        <charset val="134"/>
      </rPr>
      <t>)</t>
    </r>
  </si>
  <si>
    <t>推荐3*8</t>
  </si>
  <si>
    <t>推荐3*4</t>
  </si>
  <si>
    <t>使用參考機種的BLU亮度</t>
  </si>
  <si>
    <t>Bent胶框外凸</t>
  </si>
  <si>
    <t>U折内推和胶框外凸结构相同</t>
  </si>
  <si>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厂家</t>
    </r>
  </si>
  <si>
    <t>聚飞</t>
  </si>
  <si>
    <t>推荐3*9</t>
  </si>
  <si>
    <t>推荐3*5</t>
  </si>
  <si>
    <t>BLU比較項目</t>
  </si>
  <si>
    <t>參考機種</t>
  </si>
  <si>
    <t>檢討機種</t>
  </si>
  <si>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色块</t>
    </r>
    <r>
      <rPr>
        <sz val="11"/>
        <color theme="1"/>
        <rFont val="Calibri"/>
        <charset val="134"/>
      </rPr>
      <t>+</t>
    </r>
    <r>
      <rPr>
        <sz val="11"/>
        <color theme="1"/>
        <rFont val="宋体"/>
        <charset val="134"/>
      </rPr>
      <t>波段</t>
    </r>
    <r>
      <rPr>
        <sz val="11"/>
        <color theme="1"/>
        <rFont val="Calibri"/>
        <charset val="134"/>
      </rPr>
      <t>(</t>
    </r>
    <r>
      <rPr>
        <sz val="11"/>
        <color theme="1"/>
        <rFont val="宋体"/>
        <charset val="134"/>
      </rPr>
      <t>参考</t>
    </r>
    <r>
      <rPr>
        <sz val="11"/>
        <color theme="1"/>
        <rFont val="Calibri"/>
        <charset val="134"/>
      </rPr>
      <t>)</t>
    </r>
  </si>
  <si>
    <t>E4色块 D波段</t>
  </si>
  <si>
    <t>推荐3*10</t>
  </si>
  <si>
    <t>推荐4*4</t>
  </si>
  <si>
    <t>NE140QUM-N61-5940</t>
  </si>
  <si>
    <r>
      <rPr>
        <sz val="11"/>
        <color theme="1"/>
        <rFont val="Calibri"/>
        <charset val="134"/>
      </rPr>
      <t>13.0</t>
    </r>
    <r>
      <rPr>
        <sz val="11"/>
        <color theme="1"/>
        <rFont val="宋体"/>
        <charset val="134"/>
      </rPr>
      <t>华南向</t>
    </r>
  </si>
  <si>
    <t>需要自行選擇參考機種</t>
  </si>
  <si>
    <r>
      <rPr>
        <sz val="11"/>
        <color theme="1"/>
        <rFont val="Calibri"/>
        <charset val="134"/>
      </rPr>
      <t>Prism</t>
    </r>
    <r>
      <rPr>
        <sz val="11"/>
        <color theme="1"/>
        <rFont val="宋体"/>
        <charset val="134"/>
      </rPr>
      <t>型号</t>
    </r>
    <r>
      <rPr>
        <sz val="11"/>
        <color theme="1"/>
        <rFont val="Calibri"/>
        <charset val="134"/>
      </rPr>
      <t>(</t>
    </r>
    <r>
      <rPr>
        <sz val="11"/>
        <color theme="1"/>
        <rFont val="宋体"/>
        <charset val="134"/>
      </rPr>
      <t>参考</t>
    </r>
    <r>
      <rPr>
        <sz val="11"/>
        <color theme="1"/>
        <rFont val="Calibri"/>
        <charset val="134"/>
      </rPr>
      <t>)</t>
    </r>
  </si>
  <si>
    <t>KBED-160R1/KBCO-160R</t>
  </si>
  <si>
    <t>推荐4*8</t>
  </si>
  <si>
    <t>推荐3*6</t>
  </si>
  <si>
    <r>
      <rPr>
        <sz val="11"/>
        <color theme="1"/>
        <rFont val="Calibri"/>
        <charset val="134"/>
      </rPr>
      <t>Tr.(</t>
    </r>
    <r>
      <rPr>
        <sz val="11"/>
        <color theme="1"/>
        <rFont val="宋体"/>
        <charset val="134"/>
      </rPr>
      <t>不考虑</t>
    </r>
    <r>
      <rPr>
        <sz val="11"/>
        <color theme="1"/>
        <rFont val="Calibri"/>
        <charset val="134"/>
      </rPr>
      <t>APF POL+</t>
    </r>
    <r>
      <rPr>
        <sz val="11"/>
        <color theme="1"/>
        <rFont val="宋体"/>
        <charset val="134"/>
      </rPr>
      <t>高增益棱镜影响</t>
    </r>
    <r>
      <rPr>
        <sz val="11"/>
        <color theme="1"/>
        <rFont val="Calibri"/>
        <charset val="134"/>
      </rPr>
      <t>)</t>
    </r>
  </si>
  <si>
    <t>同Cell共同确认Tr</t>
  </si>
  <si>
    <r>
      <rPr>
        <sz val="11"/>
        <color theme="1"/>
        <rFont val="宋体"/>
        <charset val="134"/>
      </rPr>
      <t>模组色坐标</t>
    </r>
    <r>
      <rPr>
        <sz val="11"/>
        <color theme="1"/>
        <rFont val="Calibri"/>
        <charset val="134"/>
      </rPr>
      <t>(</t>
    </r>
    <r>
      <rPr>
        <sz val="11"/>
        <color theme="1"/>
        <rFont val="宋体"/>
        <charset val="134"/>
      </rPr>
      <t>模拟</t>
    </r>
    <r>
      <rPr>
        <sz val="11"/>
        <color theme="1"/>
        <rFont val="Calibri"/>
        <charset val="134"/>
      </rPr>
      <t>)</t>
    </r>
  </si>
  <si>
    <t>推荐3*11</t>
  </si>
  <si>
    <t>推荐4*5或5*4</t>
  </si>
  <si>
    <t>有无APF POL</t>
  </si>
  <si>
    <t>有APF POL</t>
  </si>
  <si>
    <r>
      <rPr>
        <sz val="11"/>
        <color theme="1"/>
        <rFont val="宋体"/>
        <charset val="134"/>
      </rPr>
      <t>检讨新机种</t>
    </r>
  </si>
  <si>
    <r>
      <rPr>
        <sz val="11"/>
        <color theme="1"/>
        <rFont val="Calibri"/>
        <charset val="134"/>
      </rPr>
      <t>Prism</t>
    </r>
    <r>
      <rPr>
        <sz val="11"/>
        <color theme="1"/>
        <rFont val="宋体"/>
        <charset val="134"/>
      </rPr>
      <t>型号</t>
    </r>
    <r>
      <rPr>
        <sz val="11"/>
        <color theme="1"/>
        <rFont val="Calibri"/>
        <charset val="134"/>
      </rPr>
      <t>(</t>
    </r>
    <r>
      <rPr>
        <sz val="11"/>
        <color theme="1"/>
        <rFont val="宋体"/>
        <charset val="134"/>
      </rPr>
      <t>新机种</t>
    </r>
    <r>
      <rPr>
        <sz val="11"/>
        <color theme="1"/>
        <rFont val="Calibri"/>
        <charset val="134"/>
      </rPr>
      <t>)</t>
    </r>
  </si>
  <si>
    <t>推荐3*12或4*9</t>
  </si>
  <si>
    <t>推荐4*6或6*4</t>
  </si>
  <si>
    <t>Tr.(实际)</t>
  </si>
  <si>
    <t>此Tr参与光学计算（影响因子：有无APF和棱镜）</t>
  </si>
  <si>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厂家</t>
    </r>
    <r>
      <rPr>
        <sz val="11"/>
        <color theme="1"/>
        <rFont val="Calibri"/>
        <charset val="134"/>
      </rPr>
      <t>(</t>
    </r>
    <r>
      <rPr>
        <sz val="11"/>
        <color theme="1"/>
        <rFont val="宋体"/>
        <charset val="134"/>
      </rPr>
      <t>新机种</t>
    </r>
    <r>
      <rPr>
        <sz val="11"/>
        <color theme="1"/>
        <rFont val="Calibri"/>
        <charset val="134"/>
      </rPr>
      <t>)</t>
    </r>
  </si>
  <si>
    <t>推荐5*8或4*10</t>
  </si>
  <si>
    <t>推荐5*5</t>
  </si>
  <si>
    <t xml:space="preserve">LED Model  </t>
  </si>
  <si>
    <t>3006(YAG-展晶)-2.9V MAX-無Zener</t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</si>
  <si>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宋体"/>
        <charset val="134"/>
      </rPr>
      <t>的選用需考慮色域</t>
    </r>
  </si>
  <si>
    <r>
      <rPr>
        <sz val="11"/>
        <color theme="1"/>
        <rFont val="宋体"/>
        <charset val="134"/>
      </rPr>
      <t>色偏影响因子</t>
    </r>
  </si>
  <si>
    <t>Prism相对色偏</t>
  </si>
  <si>
    <t>推荐4*11</t>
  </si>
  <si>
    <t>推荐7*4</t>
  </si>
  <si>
    <r>
      <rPr>
        <sz val="11"/>
        <color theme="1"/>
        <rFont val="宋体"/>
        <charset val="134"/>
      </rPr>
      <t>有無</t>
    </r>
    <r>
      <rPr>
        <sz val="11"/>
        <color theme="1"/>
        <rFont val="Calibri"/>
        <charset val="134"/>
      </rPr>
      <t>LED Driver</t>
    </r>
  </si>
  <si>
    <t>有(1个Driver IC)</t>
  </si>
  <si>
    <t>Panel放大倍数</t>
  </si>
  <si>
    <t>推荐5*9</t>
  </si>
  <si>
    <t>推荐5*6或6*5</t>
  </si>
  <si>
    <r>
      <rPr>
        <sz val="11"/>
        <color theme="1"/>
        <rFont val="Calibri"/>
        <charset val="134"/>
      </rPr>
      <t xml:space="preserve">LED Number </t>
    </r>
    <r>
      <rPr>
        <b/>
        <sz val="11"/>
        <color rgb="FF0000CC"/>
        <rFont val="Calibri"/>
        <charset val="134"/>
      </rPr>
      <t>Max</t>
    </r>
  </si>
  <si>
    <r>
      <rPr>
        <sz val="11"/>
        <color theme="1"/>
        <rFont val="Calibri"/>
        <charset val="134"/>
      </rPr>
      <t>LB</t>
    </r>
    <r>
      <rPr>
        <sz val="11"/>
        <color theme="1"/>
        <rFont val="宋体"/>
        <charset val="134"/>
      </rPr>
      <t>固定方式</t>
    </r>
    <r>
      <rPr>
        <sz val="11"/>
        <color theme="1"/>
        <rFont val="Calibri"/>
        <charset val="134"/>
      </rPr>
      <t>+TVS</t>
    </r>
    <r>
      <rPr>
        <sz val="11"/>
        <color theme="1"/>
        <rFont val="宋体"/>
        <charset val="134"/>
      </rPr>
      <t>放置方式</t>
    </r>
    <r>
      <rPr>
        <sz val="11"/>
        <color theme="1"/>
        <rFont val="Calibri"/>
        <charset val="134"/>
      </rPr>
      <t>+LED</t>
    </r>
    <r>
      <rPr>
        <sz val="11"/>
        <color theme="1"/>
        <rFont val="宋体"/>
        <charset val="134"/>
      </rPr>
      <t>角度</t>
    </r>
    <r>
      <rPr>
        <sz val="11"/>
        <color theme="1"/>
        <rFont val="Calibri"/>
        <charset val="134"/>
      </rPr>
      <t>+AA H+DP</t>
    </r>
    <r>
      <rPr>
        <sz val="11"/>
        <color theme="1"/>
        <rFont val="宋体"/>
        <charset val="134"/>
      </rPr>
      <t>边框</t>
    </r>
  </si>
  <si>
    <r>
      <rPr>
        <sz val="11"/>
        <color theme="1"/>
        <rFont val="宋体"/>
        <charset val="134"/>
      </rPr>
      <t>模组相对色偏</t>
    </r>
  </si>
  <si>
    <t>推荐4*12或6*8</t>
  </si>
  <si>
    <t>推荐8*4</t>
  </si>
  <si>
    <r>
      <rPr>
        <sz val="11"/>
        <color theme="1"/>
        <rFont val="Calibri"/>
        <charset val="134"/>
      </rPr>
      <t xml:space="preserve">LED Number </t>
    </r>
    <r>
      <rPr>
        <b/>
        <sz val="11"/>
        <color rgb="FF0000CC"/>
        <rFont val="Calibri"/>
        <charset val="134"/>
      </rPr>
      <t>Min</t>
    </r>
  </si>
  <si>
    <r>
      <rPr>
        <sz val="11"/>
        <color theme="1"/>
        <rFont val="Calibri"/>
        <charset val="134"/>
      </rPr>
      <t>LGP</t>
    </r>
    <r>
      <rPr>
        <sz val="11"/>
        <color theme="1"/>
        <rFont val="宋体"/>
        <charset val="134"/>
      </rPr>
      <t>类型影响</t>
    </r>
  </si>
  <si>
    <r>
      <rPr>
        <sz val="11"/>
        <color theme="1"/>
        <rFont val="宋体"/>
        <charset val="134"/>
      </rPr>
      <t>评估结果</t>
    </r>
  </si>
  <si>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色坐标</t>
    </r>
    <r>
      <rPr>
        <sz val="11"/>
        <color theme="1"/>
        <rFont val="Calibri"/>
        <charset val="134"/>
      </rPr>
      <t>(</t>
    </r>
    <r>
      <rPr>
        <sz val="11"/>
        <color theme="1"/>
        <rFont val="宋体"/>
        <charset val="134"/>
      </rPr>
      <t>新机种</t>
    </r>
    <r>
      <rPr>
        <sz val="11"/>
        <color theme="1"/>
        <rFont val="Calibri"/>
        <charset val="134"/>
      </rPr>
      <t>)</t>
    </r>
  </si>
  <si>
    <t>推荐5*10</t>
  </si>
  <si>
    <t>推荐7*5</t>
  </si>
  <si>
    <t>色块+波段</t>
  </si>
  <si>
    <t>推荐6*9</t>
  </si>
  <si>
    <t>推荐6*6或9*4</t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</si>
  <si>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串數</t>
    </r>
    <r>
      <rPr>
        <sz val="11"/>
        <color theme="1"/>
        <rFont val="Calibri"/>
        <charset val="134"/>
      </rPr>
      <t>*</t>
    </r>
    <r>
      <rPr>
        <sz val="11"/>
        <color theme="1"/>
        <rFont val="新細明體"/>
        <charset val="136"/>
      </rPr>
      <t>顆數</t>
    </r>
  </si>
  <si>
    <r>
      <rPr>
        <sz val="11"/>
        <color theme="1"/>
        <rFont val="宋体"/>
        <charset val="134"/>
      </rPr>
      <t>亮度档</t>
    </r>
  </si>
  <si>
    <t>推荐5*11</t>
  </si>
  <si>
    <t>推荐10*4或8*5</t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</si>
  <si>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串數</t>
    </r>
  </si>
  <si>
    <r>
      <rPr>
        <sz val="11"/>
        <color theme="1"/>
        <rFont val="宋体"/>
        <charset val="134"/>
      </rPr>
      <t>一颗</t>
    </r>
    <r>
      <rPr>
        <sz val="11"/>
        <color theme="1"/>
        <rFont val="Calibri"/>
        <charset val="134"/>
      </rPr>
      <t>Driver IC</t>
    </r>
    <r>
      <rPr>
        <sz val="11"/>
        <color theme="1"/>
        <rFont val="宋体"/>
        <charset val="134"/>
      </rPr>
      <t>范围：</t>
    </r>
    <r>
      <rPr>
        <sz val="11"/>
        <color theme="1"/>
        <rFont val="Calibri"/>
        <charset val="134"/>
      </rPr>
      <t>3~6</t>
    </r>
  </si>
  <si>
    <r>
      <rPr>
        <sz val="11"/>
        <color theme="1"/>
        <rFont val="Calibri"/>
        <charset val="134"/>
      </rPr>
      <t xml:space="preserve">A/P Raio </t>
    </r>
    <r>
      <rPr>
        <sz val="11"/>
        <color theme="1"/>
        <rFont val="宋体"/>
        <charset val="134"/>
      </rPr>
      <t>的計算公式</t>
    </r>
    <r>
      <rPr>
        <sz val="11"/>
        <color theme="1"/>
        <rFont val="Calibri"/>
        <charset val="134"/>
      </rPr>
      <t xml:space="preserve"> (</t>
    </r>
    <r>
      <rPr>
        <sz val="11"/>
        <color theme="1"/>
        <rFont val="宋体"/>
        <charset val="134"/>
      </rPr>
      <t>需搭配</t>
    </r>
    <r>
      <rPr>
        <sz val="11"/>
        <color theme="1"/>
        <rFont val="Calibri"/>
        <charset val="134"/>
      </rPr>
      <t>Outline_X and Y</t>
    </r>
    <r>
      <rPr>
        <sz val="11"/>
        <color theme="1"/>
        <rFont val="宋体"/>
        <charset val="134"/>
      </rPr>
      <t>的表格</t>
    </r>
    <r>
      <rPr>
        <sz val="11"/>
        <color theme="1"/>
        <rFont val="Calibri"/>
        <charset val="134"/>
      </rPr>
      <t>)</t>
    </r>
  </si>
  <si>
    <t>推荐5*12或6*10</t>
  </si>
  <si>
    <t>推荐7*6</t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</si>
  <si>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串數</t>
    </r>
    <r>
      <rPr>
        <sz val="11"/>
        <color theme="1"/>
        <rFont val="Calibri"/>
        <charset val="134"/>
      </rPr>
      <t>(</t>
    </r>
    <r>
      <rPr>
        <sz val="11"/>
        <color theme="1"/>
        <rFont val="新細明體"/>
        <charset val="136"/>
      </rPr>
      <t>有</t>
    </r>
    <r>
      <rPr>
        <sz val="11"/>
        <color theme="1"/>
        <rFont val="Calibri"/>
        <charset val="134"/>
      </rPr>
      <t>2</t>
    </r>
    <r>
      <rPr>
        <sz val="11"/>
        <color theme="1"/>
        <rFont val="宋体"/>
        <charset val="134"/>
      </rPr>
      <t>个</t>
    </r>
    <r>
      <rPr>
        <sz val="11"/>
        <color theme="1"/>
        <rFont val="Calibri"/>
        <charset val="134"/>
      </rPr>
      <t>Driver IC)</t>
    </r>
  </si>
  <si>
    <t>推荐6*11</t>
  </si>
  <si>
    <t>推荐11*4</t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</si>
  <si>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一串中的顆數</t>
    </r>
  </si>
  <si>
    <t>一串灯总电压范围：22V~37V</t>
  </si>
  <si>
    <t>推荐9*5</t>
  </si>
  <si>
    <r>
      <rPr>
        <sz val="11"/>
        <color theme="1"/>
        <rFont val="Calibri"/>
        <charset val="134"/>
      </rPr>
      <t>TVS</t>
    </r>
    <r>
      <rPr>
        <sz val="11"/>
        <color theme="1"/>
        <rFont val="新細明體"/>
        <charset val="136"/>
      </rPr>
      <t>顆數</t>
    </r>
  </si>
  <si>
    <r>
      <rPr>
        <sz val="11"/>
        <color theme="1"/>
        <rFont val="宋体"/>
        <charset val="134"/>
      </rPr>
      <t>由</t>
    </r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串数</t>
    </r>
    <r>
      <rPr>
        <sz val="11"/>
        <color theme="1"/>
        <rFont val="Calibri"/>
        <charset val="134"/>
      </rPr>
      <t>+LED Driver</t>
    </r>
    <r>
      <rPr>
        <sz val="11"/>
        <color theme="1"/>
        <rFont val="宋体"/>
        <charset val="134"/>
      </rPr>
      <t>颗数决定</t>
    </r>
  </si>
  <si>
    <t>推荐12*4或8*6</t>
  </si>
  <si>
    <t xml:space="preserve">Luminous  Flux  (lm.) </t>
  </si>
  <si>
    <t>亮度档参考范围：7~9</t>
  </si>
  <si>
    <t>推荐10*5</t>
  </si>
  <si>
    <t xml:space="preserve">Forward Current(mA) </t>
  </si>
  <si>
    <t>电流范围：6~25mA，部分IC支持3~12.5mA</t>
  </si>
  <si>
    <t>推荐9*6</t>
  </si>
  <si>
    <t>實際電壓</t>
  </si>
  <si>
    <r>
      <rPr>
        <sz val="11"/>
        <color theme="1"/>
        <rFont val="宋体"/>
        <charset val="134"/>
      </rPr>
      <t>根據</t>
    </r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實測，計算用</t>
    </r>
  </si>
  <si>
    <t>推荐11*5</t>
  </si>
  <si>
    <t xml:space="preserve">BLU Power (W,Typ.) </t>
  </si>
  <si>
    <t>推荐12*5或10*6</t>
  </si>
  <si>
    <r>
      <rPr>
        <sz val="11"/>
        <color theme="1"/>
        <rFont val="Calibri"/>
        <charset val="134"/>
      </rPr>
      <t xml:space="preserve">BLU Power (W,Max.) </t>
    </r>
    <r>
      <rPr>
        <sz val="11"/>
        <color theme="1"/>
        <rFont val="宋体"/>
        <charset val="134"/>
      </rPr>
      <t>均方根</t>
    </r>
  </si>
  <si>
    <t>推荐11*6</t>
  </si>
  <si>
    <r>
      <rPr>
        <sz val="11"/>
        <color theme="1"/>
        <rFont val="宋体"/>
        <charset val="134"/>
      </rPr>
      <t>客戶</t>
    </r>
    <r>
      <rPr>
        <sz val="11"/>
        <color theme="1"/>
        <rFont val="Calibri"/>
        <charset val="134"/>
      </rPr>
      <t xml:space="preserve"> BLU Power Spec.(Max)</t>
    </r>
  </si>
  <si>
    <t>推荐12*6</t>
  </si>
  <si>
    <t xml:space="preserve"> BLU Power Judge</t>
  </si>
  <si>
    <t>Film</t>
  </si>
  <si>
    <t>Top Diffuser</t>
  </si>
  <si>
    <t>JS960HK</t>
  </si>
  <si>
    <t>LED Position</t>
  </si>
  <si>
    <t>推荐设计值(min)</t>
  </si>
  <si>
    <t>選擇上擴的情況</t>
  </si>
  <si>
    <t>Top Prism</t>
  </si>
  <si>
    <t>HLS505-03/HS505E</t>
  </si>
  <si>
    <t>鐵件內凹(胶框外凸)</t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</si>
  <si>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最多數目建議</t>
    </r>
  </si>
  <si>
    <t>LED to LB Edge(min)</t>
  </si>
  <si>
    <t>Down Prism</t>
  </si>
  <si>
    <t>TVS 最小Size</t>
  </si>
  <si>
    <t>1*0.6</t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</si>
  <si>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最小</t>
    </r>
    <r>
      <rPr>
        <sz val="11"/>
        <color theme="1"/>
        <rFont val="細明體"/>
        <charset val="136"/>
      </rPr>
      <t>間距</t>
    </r>
  </si>
  <si>
    <t>LED 最多數目</t>
  </si>
  <si>
    <t>Down Diffuser</t>
  </si>
  <si>
    <t>CDH743X</t>
  </si>
  <si>
    <r>
      <rPr>
        <sz val="11"/>
        <color theme="1"/>
        <rFont val="Calibri"/>
        <charset val="134"/>
      </rPr>
      <t xml:space="preserve">TVS </t>
    </r>
    <r>
      <rPr>
        <sz val="11"/>
        <color theme="1"/>
        <rFont val="新細明體"/>
        <charset val="136"/>
      </rPr>
      <t>放置方式</t>
    </r>
  </si>
  <si>
    <t>LED之间横放</t>
  </si>
  <si>
    <r>
      <rPr>
        <sz val="11"/>
        <color theme="1"/>
        <rFont val="Calibri"/>
        <charset val="134"/>
      </rPr>
      <t>LB</t>
    </r>
    <r>
      <rPr>
        <sz val="11"/>
        <color theme="1"/>
        <rFont val="新細明體"/>
        <charset val="136"/>
      </rPr>
      <t>與</t>
    </r>
    <r>
      <rPr>
        <sz val="11"/>
        <color theme="1"/>
        <rFont val="Calibri"/>
        <charset val="134"/>
      </rPr>
      <t xml:space="preserve">LGP </t>
    </r>
    <r>
      <rPr>
        <sz val="11"/>
        <color theme="1"/>
        <rFont val="新細明體"/>
        <charset val="136"/>
      </rPr>
      <t>分開，</t>
    </r>
    <r>
      <rPr>
        <sz val="11"/>
        <color theme="1"/>
        <rFont val="Calibri"/>
        <charset val="134"/>
      </rPr>
      <t xml:space="preserve">TVS </t>
    </r>
    <r>
      <rPr>
        <sz val="11"/>
        <color theme="1"/>
        <rFont val="新細明體"/>
        <charset val="136"/>
      </rPr>
      <t>於</t>
    </r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之間</t>
    </r>
    <r>
      <rPr>
        <sz val="11"/>
        <color theme="1"/>
        <rFont val="宋体"/>
        <charset val="134"/>
      </rPr>
      <t>横放</t>
    </r>
  </si>
  <si>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之间横放</t>
    </r>
  </si>
  <si>
    <t>RF150UC10E</t>
  </si>
  <si>
    <r>
      <rPr>
        <sz val="11"/>
        <color theme="1"/>
        <rFont val="Calibri"/>
        <charset val="134"/>
      </rPr>
      <t>LB</t>
    </r>
    <r>
      <rPr>
        <sz val="11"/>
        <color theme="1"/>
        <rFont val="新細明體"/>
        <charset val="136"/>
      </rPr>
      <t>與</t>
    </r>
    <r>
      <rPr>
        <sz val="11"/>
        <color theme="1"/>
        <rFont val="Calibri"/>
        <charset val="134"/>
      </rPr>
      <t xml:space="preserve">LGP </t>
    </r>
    <r>
      <rPr>
        <sz val="11"/>
        <color theme="1"/>
        <rFont val="新細明體"/>
        <charset val="136"/>
      </rPr>
      <t>分開，</t>
    </r>
    <r>
      <rPr>
        <sz val="11"/>
        <color theme="1"/>
        <rFont val="Calibri"/>
        <charset val="134"/>
      </rPr>
      <t xml:space="preserve">TVS </t>
    </r>
    <r>
      <rPr>
        <sz val="11"/>
        <color theme="1"/>
        <rFont val="新細明體"/>
        <charset val="136"/>
      </rPr>
      <t>於</t>
    </r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之間</t>
    </r>
    <r>
      <rPr>
        <sz val="11"/>
        <color theme="1"/>
        <rFont val="宋体"/>
        <charset val="134"/>
      </rPr>
      <t>竖放</t>
    </r>
  </si>
  <si>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之间竖放</t>
    </r>
  </si>
  <si>
    <t>LGP Type</t>
  </si>
  <si>
    <t>V-CUT</t>
  </si>
  <si>
    <r>
      <rPr>
        <sz val="11"/>
        <color theme="1"/>
        <rFont val="Calibri"/>
        <charset val="134"/>
      </rPr>
      <t xml:space="preserve">LGP </t>
    </r>
    <r>
      <rPr>
        <sz val="11"/>
        <color theme="1"/>
        <rFont val="宋体"/>
        <charset val="134"/>
      </rPr>
      <t>的</t>
    </r>
    <r>
      <rPr>
        <sz val="11"/>
        <color theme="1"/>
        <rFont val="Calibri"/>
        <charset val="134"/>
      </rPr>
      <t xml:space="preserve">Type </t>
    </r>
    <r>
      <rPr>
        <sz val="11"/>
        <color theme="1"/>
        <rFont val="宋体"/>
        <charset val="134"/>
      </rPr>
      <t>選用</t>
    </r>
  </si>
  <si>
    <r>
      <rPr>
        <sz val="11"/>
        <color theme="1"/>
        <rFont val="Calibri"/>
        <charset val="134"/>
      </rPr>
      <t>LB</t>
    </r>
    <r>
      <rPr>
        <sz val="11"/>
        <color theme="1"/>
        <rFont val="新細明體"/>
        <charset val="136"/>
      </rPr>
      <t>與</t>
    </r>
    <r>
      <rPr>
        <sz val="11"/>
        <color theme="1"/>
        <rFont val="Calibri"/>
        <charset val="134"/>
      </rPr>
      <t xml:space="preserve">LGP </t>
    </r>
    <r>
      <rPr>
        <sz val="11"/>
        <color theme="1"/>
        <rFont val="新細明體"/>
        <charset val="136"/>
      </rPr>
      <t>分開，</t>
    </r>
    <r>
      <rPr>
        <sz val="11"/>
        <color theme="1"/>
        <rFont val="Calibri"/>
        <charset val="134"/>
      </rPr>
      <t xml:space="preserve">TVS </t>
    </r>
    <r>
      <rPr>
        <sz val="11"/>
        <color theme="1"/>
        <rFont val="新細明體"/>
        <charset val="136"/>
      </rPr>
      <t>於</t>
    </r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後面</t>
    </r>
    <r>
      <rPr>
        <sz val="11"/>
        <color theme="1"/>
        <rFont val="宋体"/>
        <charset val="134"/>
      </rPr>
      <t>横放</t>
    </r>
  </si>
  <si>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后面横放</t>
    </r>
  </si>
  <si>
    <t>LGP Thickness</t>
  </si>
  <si>
    <t>热压PMMA</t>
  </si>
  <si>
    <r>
      <rPr>
        <sz val="11"/>
        <color theme="1"/>
        <rFont val="Calibri"/>
        <charset val="136"/>
      </rPr>
      <t>LB</t>
    </r>
    <r>
      <rPr>
        <sz val="11"/>
        <color theme="1"/>
        <rFont val="微軟正黑體"/>
        <charset val="136"/>
      </rPr>
      <t>與</t>
    </r>
    <r>
      <rPr>
        <sz val="11"/>
        <color theme="1"/>
        <rFont val="Calibri"/>
        <charset val="134"/>
      </rPr>
      <t xml:space="preserve">LGP </t>
    </r>
    <r>
      <rPr>
        <sz val="11"/>
        <color theme="1"/>
        <rFont val="新細明體"/>
        <charset val="136"/>
      </rPr>
      <t>一體</t>
    </r>
    <r>
      <rPr>
        <sz val="11"/>
        <color theme="1"/>
        <rFont val="微軟正黑體"/>
        <charset val="136"/>
      </rPr>
      <t>，</t>
    </r>
    <r>
      <rPr>
        <sz val="11"/>
        <color theme="1"/>
        <rFont val="Calibri"/>
        <charset val="134"/>
      </rPr>
      <t xml:space="preserve">TVS </t>
    </r>
    <r>
      <rPr>
        <sz val="11"/>
        <color theme="1"/>
        <rFont val="微軟正黑體"/>
        <charset val="136"/>
      </rPr>
      <t>於</t>
    </r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之間</t>
    </r>
    <r>
      <rPr>
        <sz val="11"/>
        <color theme="1"/>
        <rFont val="宋体"/>
        <charset val="134"/>
      </rPr>
      <t>横放</t>
    </r>
  </si>
  <si>
    <r>
      <rPr>
        <sz val="11"/>
        <color theme="1"/>
        <rFont val="Calibri"/>
        <charset val="134"/>
      </rPr>
      <t>Mold Frame</t>
    </r>
    <r>
      <rPr>
        <sz val="11"/>
        <color theme="1"/>
        <rFont val="宋体"/>
        <charset val="134"/>
      </rPr>
      <t>颜色</t>
    </r>
  </si>
  <si>
    <t>PC 白</t>
  </si>
  <si>
    <t>3105双晶A/P：A/(Pitch-1.7)</t>
  </si>
  <si>
    <r>
      <rPr>
        <sz val="11"/>
        <color theme="1"/>
        <rFont val="Calibri"/>
        <charset val="136"/>
      </rPr>
      <t>LB</t>
    </r>
    <r>
      <rPr>
        <sz val="11"/>
        <color theme="1"/>
        <rFont val="微軟正黑體"/>
        <charset val="136"/>
      </rPr>
      <t>與</t>
    </r>
    <r>
      <rPr>
        <sz val="11"/>
        <color theme="1"/>
        <rFont val="Calibri"/>
        <charset val="134"/>
      </rPr>
      <t xml:space="preserve">LGP </t>
    </r>
    <r>
      <rPr>
        <sz val="11"/>
        <color theme="1"/>
        <rFont val="新細明體"/>
        <charset val="136"/>
      </rPr>
      <t>一體</t>
    </r>
    <r>
      <rPr>
        <sz val="11"/>
        <color theme="1"/>
        <rFont val="微軟正黑體"/>
        <charset val="136"/>
      </rPr>
      <t>，</t>
    </r>
    <r>
      <rPr>
        <sz val="11"/>
        <color theme="1"/>
        <rFont val="Calibri"/>
        <charset val="134"/>
      </rPr>
      <t xml:space="preserve">TVS </t>
    </r>
    <r>
      <rPr>
        <sz val="11"/>
        <color theme="1"/>
        <rFont val="微軟正黑體"/>
        <charset val="136"/>
      </rPr>
      <t>於</t>
    </r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之間</t>
    </r>
    <r>
      <rPr>
        <sz val="11"/>
        <color theme="1"/>
        <rFont val="宋体"/>
        <charset val="134"/>
      </rPr>
      <t>竖放</t>
    </r>
  </si>
  <si>
    <t>Module Aging</t>
  </si>
  <si>
    <t>是(LB與LGP固定)</t>
  </si>
  <si>
    <r>
      <rPr>
        <sz val="11"/>
        <color theme="1"/>
        <rFont val="宋体"/>
        <charset val="134"/>
      </rPr>
      <t>是否需要經過</t>
    </r>
    <r>
      <rPr>
        <sz val="11"/>
        <color theme="1"/>
        <rFont val="Calibri"/>
        <charset val="134"/>
      </rPr>
      <t>Aging</t>
    </r>
  </si>
  <si>
    <t>LED To AA</t>
  </si>
  <si>
    <r>
      <rPr>
        <sz val="11"/>
        <color theme="1"/>
        <rFont val="Calibri"/>
        <charset val="136"/>
      </rPr>
      <t>LB</t>
    </r>
    <r>
      <rPr>
        <sz val="11"/>
        <color theme="1"/>
        <rFont val="微軟正黑體"/>
        <charset val="136"/>
      </rPr>
      <t>與</t>
    </r>
    <r>
      <rPr>
        <sz val="11"/>
        <color theme="1"/>
        <rFont val="Calibri"/>
        <charset val="134"/>
      </rPr>
      <t xml:space="preserve">LGP </t>
    </r>
    <r>
      <rPr>
        <sz val="11"/>
        <color theme="1"/>
        <rFont val="新細明體"/>
        <charset val="136"/>
      </rPr>
      <t>一體</t>
    </r>
    <r>
      <rPr>
        <sz val="11"/>
        <color theme="1"/>
        <rFont val="微軟正黑體"/>
        <charset val="136"/>
      </rPr>
      <t>，</t>
    </r>
    <r>
      <rPr>
        <sz val="11"/>
        <color theme="1"/>
        <rFont val="Calibri"/>
        <charset val="134"/>
      </rPr>
      <t xml:space="preserve">TVS </t>
    </r>
    <r>
      <rPr>
        <sz val="11"/>
        <color theme="1"/>
        <rFont val="微軟正黑體"/>
        <charset val="136"/>
      </rPr>
      <t>於</t>
    </r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新細明體"/>
        <charset val="136"/>
      </rPr>
      <t>後面</t>
    </r>
    <r>
      <rPr>
        <sz val="11"/>
        <color theme="1"/>
        <rFont val="宋体"/>
        <charset val="134"/>
      </rPr>
      <t>横放</t>
    </r>
  </si>
  <si>
    <t>A-A H</t>
  </si>
  <si>
    <t>AA Size</t>
  </si>
  <si>
    <r>
      <rPr>
        <sz val="11"/>
        <color theme="1"/>
        <rFont val="Calibri"/>
        <charset val="136"/>
      </rPr>
      <t>LB</t>
    </r>
    <r>
      <rPr>
        <sz val="11"/>
        <color theme="1"/>
        <rFont val="宋体"/>
        <charset val="134"/>
      </rPr>
      <t>與</t>
    </r>
    <r>
      <rPr>
        <sz val="11"/>
        <color theme="1"/>
        <rFont val="Calibri"/>
        <charset val="136"/>
      </rPr>
      <t xml:space="preserve">LGP </t>
    </r>
    <r>
      <rPr>
        <sz val="11"/>
        <color theme="1"/>
        <rFont val="宋体"/>
        <charset val="134"/>
      </rPr>
      <t>分開，无</t>
    </r>
    <r>
      <rPr>
        <sz val="11"/>
        <color theme="1"/>
        <rFont val="Calibri"/>
        <charset val="136"/>
      </rPr>
      <t>TVS</t>
    </r>
  </si>
  <si>
    <t>A-A V</t>
  </si>
  <si>
    <t>A/P Ratio</t>
  </si>
  <si>
    <r>
      <rPr>
        <sz val="11"/>
        <color theme="1"/>
        <rFont val="Calibri"/>
        <charset val="136"/>
      </rPr>
      <t>LB</t>
    </r>
    <r>
      <rPr>
        <sz val="11"/>
        <color theme="1"/>
        <rFont val="宋体"/>
        <charset val="134"/>
      </rPr>
      <t>與</t>
    </r>
    <r>
      <rPr>
        <sz val="11"/>
        <color theme="1"/>
        <rFont val="Calibri"/>
        <charset val="136"/>
      </rPr>
      <t xml:space="preserve">LGP </t>
    </r>
    <r>
      <rPr>
        <sz val="11"/>
        <color theme="1"/>
        <rFont val="宋体"/>
        <charset val="134"/>
      </rPr>
      <t>一體，无</t>
    </r>
    <r>
      <rPr>
        <sz val="11"/>
        <color theme="1"/>
        <rFont val="Calibri"/>
        <charset val="136"/>
      </rPr>
      <t>TVS</t>
    </r>
  </si>
  <si>
    <t>无TVS</t>
  </si>
  <si>
    <t>AA Size Gain</t>
  </si>
  <si>
    <t xml:space="preserve">Aging Enhancement  </t>
  </si>
  <si>
    <t>增益</t>
  </si>
  <si>
    <t>A/P min</t>
  </si>
  <si>
    <r>
      <rPr>
        <sz val="11"/>
        <color theme="1"/>
        <rFont val="Calibri"/>
        <charset val="134"/>
      </rPr>
      <t xml:space="preserve">Aging </t>
    </r>
    <r>
      <rPr>
        <sz val="11"/>
        <color theme="1"/>
        <rFont val="宋体"/>
        <charset val="134"/>
      </rPr>
      <t>計算參考</t>
    </r>
  </si>
  <si>
    <r>
      <rPr>
        <sz val="11"/>
        <color theme="1"/>
        <rFont val="宋体"/>
        <charset val="134"/>
      </rPr>
      <t xml:space="preserve">參考資料: </t>
    </r>
    <r>
      <rPr>
        <sz val="11"/>
        <color theme="1"/>
        <rFont val="Calibri"/>
        <charset val="134"/>
      </rPr>
      <t>Aging Decay</t>
    </r>
  </si>
  <si>
    <t>Aging</t>
  </si>
  <si>
    <t xml:space="preserve">LB Enhancement  </t>
  </si>
  <si>
    <t>Serration</t>
  </si>
  <si>
    <t>LB 與LGP 是否固定在一起</t>
  </si>
  <si>
    <t xml:space="preserve">Film  Enhancement  </t>
  </si>
  <si>
    <t>IML</t>
  </si>
  <si>
    <t>Normal</t>
  </si>
  <si>
    <t>LGP Gain (Different Type)</t>
  </si>
  <si>
    <r>
      <rPr>
        <sz val="11"/>
        <color rgb="FF0000CC"/>
        <rFont val="宋体"/>
        <charset val="134"/>
      </rPr>
      <t>高增益热压</t>
    </r>
    <r>
      <rPr>
        <sz val="11"/>
        <color rgb="FF0000CC"/>
        <rFont val="Calibri"/>
        <charset val="134"/>
      </rPr>
      <t>LGP</t>
    </r>
  </si>
  <si>
    <t>LGP Thickness Gain</t>
  </si>
  <si>
    <t>Mold Frame Gain</t>
  </si>
  <si>
    <t xml:space="preserve">BLU Enhancement </t>
  </si>
  <si>
    <r>
      <rPr>
        <sz val="11"/>
        <color theme="1"/>
        <rFont val="Calibri"/>
        <charset val="134"/>
      </rPr>
      <t>BLU Brightness (nits) Aging</t>
    </r>
    <r>
      <rPr>
        <sz val="11"/>
        <color theme="1"/>
        <rFont val="宋体"/>
        <charset val="134"/>
      </rPr>
      <t>前</t>
    </r>
  </si>
  <si>
    <t>根據所選用的計算公式</t>
  </si>
  <si>
    <r>
      <rPr>
        <sz val="8"/>
        <color theme="1"/>
        <rFont val="Calibri"/>
        <charset val="134"/>
      </rPr>
      <t xml:space="preserve">                    LGP</t>
    </r>
    <r>
      <rPr>
        <sz val="8"/>
        <color theme="1"/>
        <rFont val="宋体"/>
        <charset val="134"/>
      </rPr>
      <t xml:space="preserve">厚度
</t>
    </r>
    <r>
      <rPr>
        <sz val="8"/>
        <color theme="1"/>
        <rFont val="Calibri"/>
        <charset val="134"/>
      </rPr>
      <t>LED</t>
    </r>
    <r>
      <rPr>
        <sz val="8"/>
        <color theme="1"/>
        <rFont val="宋体"/>
        <charset val="134"/>
      </rPr>
      <t>厚度</t>
    </r>
  </si>
  <si>
    <r>
      <rPr>
        <sz val="11"/>
        <color theme="1"/>
        <rFont val="宋体"/>
        <charset val="134"/>
      </rPr>
      <t>參考資料</t>
    </r>
    <r>
      <rPr>
        <sz val="11"/>
        <color theme="1"/>
        <rFont val="Calibri"/>
        <charset val="134"/>
      </rPr>
      <t xml:space="preserve">: LGP </t>
    </r>
    <r>
      <rPr>
        <sz val="11"/>
        <color theme="1"/>
        <rFont val="宋体"/>
        <charset val="134"/>
      </rPr>
      <t>厚度差異影響</t>
    </r>
  </si>
  <si>
    <t>Mold Frame颜色</t>
  </si>
  <si>
    <r>
      <rPr>
        <sz val="11"/>
        <color theme="1"/>
        <rFont val="Calibri"/>
        <charset val="134"/>
      </rPr>
      <t>BLU Brightness (nits) Aging</t>
    </r>
    <r>
      <rPr>
        <sz val="11"/>
        <color theme="1"/>
        <rFont val="宋体"/>
        <charset val="134"/>
      </rPr>
      <t>后</t>
    </r>
  </si>
  <si>
    <r>
      <rPr>
        <sz val="11"/>
        <color theme="1"/>
        <rFont val="Calibri"/>
        <charset val="134"/>
      </rPr>
      <t xml:space="preserve">PC </t>
    </r>
    <r>
      <rPr>
        <sz val="11"/>
        <color theme="1"/>
        <rFont val="宋体"/>
        <charset val="134"/>
      </rPr>
      <t>白</t>
    </r>
  </si>
  <si>
    <t>白</t>
  </si>
  <si>
    <r>
      <rPr>
        <sz val="11"/>
        <color theme="1"/>
        <rFont val="Calibri"/>
        <charset val="134"/>
      </rPr>
      <t>BLU_5</t>
    </r>
    <r>
      <rPr>
        <sz val="11"/>
        <color theme="1"/>
        <rFont val="宋体"/>
        <charset val="134"/>
      </rPr>
      <t>点均匀性</t>
    </r>
    <r>
      <rPr>
        <sz val="11"/>
        <color theme="1"/>
        <rFont val="Calibri"/>
        <charset val="134"/>
      </rPr>
      <t>(</t>
    </r>
    <r>
      <rPr>
        <sz val="11"/>
        <color theme="1"/>
        <rFont val="宋体"/>
        <charset val="134"/>
      </rPr>
      <t>实测值</t>
    </r>
    <r>
      <rPr>
        <sz val="11"/>
        <color theme="1"/>
        <rFont val="Calibri"/>
        <charset val="134"/>
      </rPr>
      <t>)</t>
    </r>
  </si>
  <si>
    <r>
      <rPr>
        <sz val="11"/>
        <color theme="1"/>
        <rFont val="Calibri"/>
        <charset val="134"/>
      </rPr>
      <t>0.6t LED (</t>
    </r>
    <r>
      <rPr>
        <sz val="11"/>
        <color theme="1"/>
        <rFont val="宋体"/>
        <charset val="134"/>
      </rPr>
      <t>測試為</t>
    </r>
    <r>
      <rPr>
        <sz val="11"/>
        <color theme="1"/>
        <rFont val="Calibri"/>
        <charset val="134"/>
      </rPr>
      <t>3806)</t>
    </r>
  </si>
  <si>
    <t>PC 灰</t>
  </si>
  <si>
    <t>灰</t>
  </si>
  <si>
    <r>
      <rPr>
        <sz val="11"/>
        <color theme="1"/>
        <rFont val="Calibri"/>
        <charset val="134"/>
      </rPr>
      <t>BLU_13</t>
    </r>
    <r>
      <rPr>
        <sz val="11"/>
        <color theme="1"/>
        <rFont val="宋体"/>
        <charset val="134"/>
      </rPr>
      <t>点均匀性</t>
    </r>
    <r>
      <rPr>
        <sz val="11"/>
        <color theme="1"/>
        <rFont val="Calibri"/>
        <charset val="134"/>
      </rPr>
      <t>(</t>
    </r>
    <r>
      <rPr>
        <sz val="11"/>
        <color theme="1"/>
        <rFont val="宋体"/>
        <charset val="134"/>
      </rPr>
      <t>实测值</t>
    </r>
    <r>
      <rPr>
        <sz val="11"/>
        <color theme="1"/>
        <rFont val="Calibri"/>
        <charset val="134"/>
      </rPr>
      <t>)</t>
    </r>
  </si>
  <si>
    <r>
      <rPr>
        <sz val="11"/>
        <color theme="1"/>
        <rFont val="Calibri"/>
        <charset val="134"/>
      </rPr>
      <t>0.5t LED (</t>
    </r>
    <r>
      <rPr>
        <sz val="11"/>
        <color theme="1"/>
        <rFont val="宋体"/>
        <charset val="134"/>
      </rPr>
      <t>測試為</t>
    </r>
    <r>
      <rPr>
        <sz val="11"/>
        <color theme="1"/>
        <rFont val="Calibri"/>
        <charset val="134"/>
      </rPr>
      <t>3105)</t>
    </r>
  </si>
  <si>
    <t>PC 黑</t>
  </si>
  <si>
    <t>黑</t>
  </si>
  <si>
    <t xml:space="preserve">Tr.Enhancement </t>
  </si>
  <si>
    <r>
      <rPr>
        <sz val="11"/>
        <color theme="1"/>
        <rFont val="Calibri"/>
        <charset val="134"/>
      </rPr>
      <t>0.4t LED (</t>
    </r>
    <r>
      <rPr>
        <sz val="11"/>
        <color theme="1"/>
        <rFont val="宋体"/>
        <charset val="134"/>
      </rPr>
      <t>測試為</t>
    </r>
    <r>
      <rPr>
        <sz val="11"/>
        <color theme="1"/>
        <rFont val="Calibri"/>
        <charset val="134"/>
      </rPr>
      <t>3804)</t>
    </r>
  </si>
  <si>
    <t>Total cost(Film+LGP)</t>
  </si>
  <si>
    <t>亮度均方差评估</t>
  </si>
  <si>
    <t xml:space="preserve">Total Enhancement </t>
  </si>
  <si>
    <r>
      <rPr>
        <b/>
        <sz val="10"/>
        <rFont val="Calibri"/>
        <charset val="134"/>
      </rPr>
      <t>Aging</t>
    </r>
    <r>
      <rPr>
        <b/>
        <sz val="10"/>
        <rFont val="宋体"/>
        <charset val="134"/>
      </rPr>
      <t>前</t>
    </r>
    <r>
      <rPr>
        <b/>
        <sz val="10"/>
        <rFont val="Calibri"/>
        <charset val="134"/>
      </rPr>
      <t xml:space="preserve"> BLU</t>
    </r>
    <r>
      <rPr>
        <b/>
        <sz val="10"/>
        <rFont val="宋体"/>
        <charset val="134"/>
      </rPr>
      <t>制程公差</t>
    </r>
  </si>
  <si>
    <r>
      <rPr>
        <b/>
        <sz val="10"/>
        <rFont val="Calibri"/>
        <charset val="134"/>
      </rPr>
      <t>Aging</t>
    </r>
    <r>
      <rPr>
        <b/>
        <sz val="10"/>
        <rFont val="宋体"/>
        <charset val="134"/>
      </rPr>
      <t>公差</t>
    </r>
  </si>
  <si>
    <r>
      <rPr>
        <b/>
        <sz val="10"/>
        <rFont val="Calibri"/>
        <charset val="134"/>
      </rPr>
      <t>Tr.</t>
    </r>
    <r>
      <rPr>
        <b/>
        <sz val="10"/>
        <rFont val="宋体"/>
        <charset val="134"/>
      </rPr>
      <t>公差</t>
    </r>
  </si>
  <si>
    <r>
      <rPr>
        <sz val="11"/>
        <color theme="1"/>
        <rFont val="Calibri"/>
        <charset val="134"/>
      </rPr>
      <t>Module Brightness (nits) Aging</t>
    </r>
    <r>
      <rPr>
        <sz val="11"/>
        <color theme="1"/>
        <rFont val="宋体"/>
        <charset val="134"/>
      </rPr>
      <t>前</t>
    </r>
  </si>
  <si>
    <t>Max.</t>
  </si>
  <si>
    <r>
      <rPr>
        <sz val="11"/>
        <color theme="1"/>
        <rFont val="Calibri"/>
        <charset val="134"/>
      </rPr>
      <t>Module Brightness (nits) Aging</t>
    </r>
    <r>
      <rPr>
        <sz val="11"/>
        <color theme="1"/>
        <rFont val="宋体"/>
        <charset val="134"/>
      </rPr>
      <t>后</t>
    </r>
  </si>
  <si>
    <t>Typ.</t>
  </si>
  <si>
    <t>Module Brightness (Typ.)</t>
  </si>
  <si>
    <r>
      <rPr>
        <sz val="11"/>
        <color theme="1"/>
        <rFont val="宋体"/>
        <charset val="134"/>
      </rPr>
      <t>默认預留</t>
    </r>
    <r>
      <rPr>
        <sz val="11"/>
        <color theme="1"/>
        <rFont val="Calibri"/>
        <charset val="134"/>
      </rPr>
      <t>3% Margin</t>
    </r>
  </si>
  <si>
    <t>Min.</t>
  </si>
  <si>
    <r>
      <rPr>
        <sz val="11"/>
        <color theme="1"/>
        <rFont val="宋体"/>
        <charset val="134"/>
      </rPr>
      <t>客戶</t>
    </r>
    <r>
      <rPr>
        <sz val="11"/>
        <color theme="1"/>
        <rFont val="Calibri"/>
        <charset val="134"/>
      </rPr>
      <t xml:space="preserve"> Brightness Spec.(Typ)</t>
    </r>
  </si>
  <si>
    <r>
      <rPr>
        <b/>
        <sz val="10"/>
        <rFont val="Calibri"/>
        <charset val="134"/>
      </rPr>
      <t>LCM Aging</t>
    </r>
    <r>
      <rPr>
        <b/>
        <sz val="10"/>
        <rFont val="宋体"/>
        <charset val="134"/>
      </rPr>
      <t>后</t>
    </r>
  </si>
  <si>
    <t>CR</t>
  </si>
  <si>
    <t>第一个LED Driver</t>
  </si>
  <si>
    <t>第二个LED Driver</t>
  </si>
  <si>
    <t>Brightness Judge</t>
  </si>
  <si>
    <t>LED型号</t>
  </si>
  <si>
    <t>3006 KSF</t>
  </si>
  <si>
    <t>LED Driver型号</t>
  </si>
  <si>
    <t>Nova B802-1N</t>
  </si>
  <si>
    <t>Duty</t>
  </si>
  <si>
    <t>LED Driver转化效率</t>
  </si>
  <si>
    <r>
      <rPr>
        <b/>
        <sz val="10"/>
        <rFont val="Calibri"/>
        <charset val="134"/>
      </rPr>
      <t>L0</t>
    </r>
    <r>
      <rPr>
        <b/>
        <sz val="10"/>
        <rFont val="宋体"/>
        <charset val="134"/>
      </rPr>
      <t>亮度</t>
    </r>
  </si>
  <si>
    <r>
      <rPr>
        <b/>
        <sz val="11"/>
        <rFont val="Calibri"/>
        <charset val="134"/>
      </rPr>
      <t>1. BLU typ</t>
    </r>
    <r>
      <rPr>
        <b/>
        <sz val="11"/>
        <rFont val="宋体"/>
        <charset val="134"/>
      </rPr>
      <t>功耗计算逻辑</t>
    </r>
  </si>
  <si>
    <r>
      <rPr>
        <sz val="11"/>
        <color theme="1"/>
        <rFont val="微软雅黑"/>
        <charset val="134"/>
      </rPr>
      <t>实际</t>
    </r>
    <r>
      <rPr>
        <sz val="11"/>
        <color theme="1"/>
        <rFont val="Calibri"/>
        <charset val="134"/>
      </rPr>
      <t>Duty</t>
    </r>
  </si>
  <si>
    <t>duty_100%</t>
  </si>
  <si>
    <r>
      <rPr>
        <sz val="11"/>
        <color theme="1"/>
        <rFont val="微软雅黑"/>
        <charset val="134"/>
      </rPr>
      <t>电流</t>
    </r>
    <r>
      <rPr>
        <sz val="11"/>
        <color theme="1"/>
        <rFont val="Calibri"/>
        <charset val="134"/>
      </rPr>
      <t>(mA)</t>
    </r>
  </si>
  <si>
    <r>
      <rPr>
        <sz val="11"/>
        <color theme="1"/>
        <rFont val="宋体"/>
        <charset val="134"/>
      </rPr>
      <t>电压</t>
    </r>
    <r>
      <rPr>
        <sz val="11"/>
        <color theme="1"/>
        <rFont val="Calibri"/>
        <charset val="134"/>
      </rPr>
      <t>(V)</t>
    </r>
  </si>
  <si>
    <t xml:space="preserve">         Efficiency
厂家</t>
  </si>
  <si>
    <t>PWM 100%</t>
  </si>
  <si>
    <t>PWM 70%</t>
  </si>
  <si>
    <t>PWM 50%</t>
  </si>
  <si>
    <t>PWM 30%</t>
  </si>
  <si>
    <t>PWM 10%</t>
  </si>
  <si>
    <r>
      <rPr>
        <sz val="11"/>
        <color theme="1"/>
        <rFont val="微软雅黑"/>
        <charset val="134"/>
      </rPr>
      <t>一个</t>
    </r>
    <r>
      <rPr>
        <sz val="11"/>
        <color theme="1"/>
        <rFont val="Calibri"/>
        <charset val="134"/>
      </rPr>
      <t xml:space="preserve">LED Driver
</t>
    </r>
    <r>
      <rPr>
        <sz val="11"/>
        <color theme="1"/>
        <rFont val="微软雅黑"/>
        <charset val="134"/>
      </rPr>
      <t>转化效率</t>
    </r>
  </si>
  <si>
    <t>Nova</t>
  </si>
  <si>
    <r>
      <rPr>
        <sz val="11"/>
        <color theme="1"/>
        <rFont val="微软雅黑"/>
        <charset val="134"/>
      </rPr>
      <t>第二个</t>
    </r>
    <r>
      <rPr>
        <sz val="11"/>
        <color theme="1"/>
        <rFont val="Calibri"/>
        <charset val="134"/>
      </rPr>
      <t>LED Driver</t>
    </r>
    <r>
      <rPr>
        <sz val="11"/>
        <color theme="1"/>
        <rFont val="微软雅黑"/>
        <charset val="134"/>
      </rPr>
      <t>转化效率</t>
    </r>
  </si>
  <si>
    <t>ANX</t>
  </si>
  <si>
    <r>
      <rPr>
        <sz val="11"/>
        <color theme="1"/>
        <rFont val="微软雅黑"/>
        <charset val="134"/>
      </rPr>
      <t>亮度</t>
    </r>
    <r>
      <rPr>
        <sz val="11"/>
        <color theme="1"/>
        <rFont val="Calibri"/>
        <charset val="134"/>
      </rPr>
      <t>(nit)</t>
    </r>
  </si>
  <si>
    <t>Richtek</t>
  </si>
  <si>
    <r>
      <rPr>
        <sz val="11"/>
        <color theme="1"/>
        <rFont val="微软雅黑"/>
        <charset val="134"/>
      </rPr>
      <t>功耗（</t>
    </r>
    <r>
      <rPr>
        <sz val="11"/>
        <color theme="1"/>
        <rFont val="Calibri"/>
        <charset val="134"/>
      </rPr>
      <t>W,Typ</t>
    </r>
    <r>
      <rPr>
        <sz val="11"/>
        <color theme="1"/>
        <rFont val="微软雅黑"/>
        <charset val="134"/>
      </rPr>
      <t>）</t>
    </r>
  </si>
  <si>
    <t>New vision</t>
  </si>
  <si>
    <r>
      <rPr>
        <b/>
        <sz val="11"/>
        <color theme="1"/>
        <rFont val="Calibri"/>
        <charset val="134"/>
      </rPr>
      <t>2. 100% Duty</t>
    </r>
    <r>
      <rPr>
        <b/>
        <sz val="11"/>
        <color theme="1"/>
        <rFont val="微软雅黑"/>
        <charset val="134"/>
      </rPr>
      <t>下功耗均方差评估</t>
    </r>
  </si>
  <si>
    <r>
      <rPr>
        <b/>
        <sz val="11"/>
        <rFont val="Calibri"/>
        <charset val="134"/>
      </rPr>
      <t>BLU</t>
    </r>
    <r>
      <rPr>
        <b/>
        <sz val="11"/>
        <rFont val="宋体"/>
        <charset val="134"/>
      </rPr>
      <t>功耗</t>
    </r>
  </si>
  <si>
    <r>
      <rPr>
        <b/>
        <sz val="11"/>
        <rFont val="宋体"/>
        <charset val="134"/>
      </rPr>
      <t>逻辑功耗公差</t>
    </r>
  </si>
  <si>
    <r>
      <rPr>
        <b/>
        <sz val="11"/>
        <rFont val="宋体"/>
        <charset val="134"/>
      </rPr>
      <t>总功耗</t>
    </r>
  </si>
  <si>
    <t>背光功耗实测波动</t>
  </si>
  <si>
    <t>Duty100%</t>
  </si>
  <si>
    <t>Duty65%</t>
  </si>
  <si>
    <t>Duty45%</t>
  </si>
  <si>
    <t>Duty25%</t>
  </si>
  <si>
    <t>Duty5%</t>
  </si>
  <si>
    <r>
      <rPr>
        <sz val="11"/>
        <color theme="1"/>
        <rFont val="宋体"/>
        <charset val="134"/>
        <scheme val="minor"/>
      </rPr>
      <t>6</t>
    </r>
    <r>
      <rPr>
        <sz val="11"/>
        <color theme="1"/>
        <rFont val="宋体"/>
        <charset val="134"/>
        <scheme val="minor"/>
      </rPr>
      <t>mA</t>
    </r>
  </si>
  <si>
    <r>
      <rPr>
        <sz val="11"/>
        <color theme="1"/>
        <rFont val="宋体"/>
        <charset val="134"/>
        <scheme val="minor"/>
      </rPr>
      <t>10</t>
    </r>
    <r>
      <rPr>
        <sz val="11"/>
        <color theme="1"/>
        <rFont val="宋体"/>
        <charset val="134"/>
        <scheme val="minor"/>
      </rPr>
      <t>mA</t>
    </r>
  </si>
  <si>
    <r>
      <rPr>
        <sz val="11"/>
        <color theme="1"/>
        <rFont val="宋体"/>
        <charset val="134"/>
        <scheme val="minor"/>
      </rPr>
      <t>14</t>
    </r>
    <r>
      <rPr>
        <sz val="11"/>
        <color theme="1"/>
        <rFont val="宋体"/>
        <charset val="134"/>
        <scheme val="minor"/>
      </rPr>
      <t>mA</t>
    </r>
  </si>
  <si>
    <r>
      <rPr>
        <b/>
        <sz val="10"/>
        <rFont val="宋体"/>
        <charset val="134"/>
      </rPr>
      <t>电流公差</t>
    </r>
  </si>
  <si>
    <r>
      <rPr>
        <b/>
        <sz val="10"/>
        <rFont val="宋体"/>
        <charset val="134"/>
      </rPr>
      <t>电压公差</t>
    </r>
  </si>
  <si>
    <r>
      <rPr>
        <b/>
        <sz val="10"/>
        <rFont val="Calibri"/>
        <charset val="134"/>
      </rPr>
      <t>LED Driver</t>
    </r>
    <r>
      <rPr>
        <b/>
        <sz val="10"/>
        <rFont val="宋体"/>
        <charset val="134"/>
      </rPr>
      <t>转化效率公差</t>
    </r>
  </si>
  <si>
    <r>
      <rPr>
        <sz val="11"/>
        <color theme="1"/>
        <rFont val="宋体"/>
        <charset val="134"/>
        <scheme val="minor"/>
      </rPr>
      <t>18</t>
    </r>
    <r>
      <rPr>
        <sz val="11"/>
        <color theme="1"/>
        <rFont val="宋体"/>
        <charset val="134"/>
        <scheme val="minor"/>
      </rPr>
      <t>mA</t>
    </r>
  </si>
  <si>
    <r>
      <rPr>
        <sz val="11"/>
        <color theme="1"/>
        <rFont val="宋体"/>
        <charset val="134"/>
        <scheme val="minor"/>
      </rPr>
      <t>22</t>
    </r>
    <r>
      <rPr>
        <sz val="11"/>
        <color theme="1"/>
        <rFont val="宋体"/>
        <charset val="134"/>
        <scheme val="minor"/>
      </rPr>
      <t>mA</t>
    </r>
  </si>
  <si>
    <r>
      <rPr>
        <sz val="11"/>
        <color theme="1"/>
        <rFont val="宋体"/>
        <charset val="134"/>
        <scheme val="minor"/>
      </rPr>
      <t>25</t>
    </r>
    <r>
      <rPr>
        <sz val="11"/>
        <color theme="1"/>
        <rFont val="宋体"/>
        <charset val="134"/>
        <scheme val="minor"/>
      </rPr>
      <t>mA</t>
    </r>
  </si>
  <si>
    <r>
      <rPr>
        <b/>
        <sz val="11"/>
        <color theme="1"/>
        <rFont val="Calibri"/>
        <charset val="134"/>
      </rPr>
      <t xml:space="preserve">3. </t>
    </r>
    <r>
      <rPr>
        <b/>
        <sz val="11"/>
        <color theme="1"/>
        <rFont val="微软雅黑"/>
        <charset val="134"/>
      </rPr>
      <t>不同亮度下功耗均方差评估</t>
    </r>
  </si>
  <si>
    <t>背光功耗实测与理论计算差值</t>
  </si>
  <si>
    <r>
      <rPr>
        <b/>
        <sz val="10"/>
        <rFont val="宋体"/>
        <charset val="134"/>
      </rPr>
      <t>亮度</t>
    </r>
  </si>
  <si>
    <r>
      <rPr>
        <b/>
        <sz val="11"/>
        <rFont val="宋体"/>
        <charset val="134"/>
      </rPr>
      <t>电流公差</t>
    </r>
  </si>
  <si>
    <r>
      <rPr>
        <b/>
        <sz val="11"/>
        <rFont val="宋体"/>
        <charset val="134"/>
      </rPr>
      <t>电压公差</t>
    </r>
  </si>
  <si>
    <r>
      <rPr>
        <b/>
        <sz val="11"/>
        <rFont val="Calibri"/>
        <charset val="134"/>
      </rPr>
      <t>LED Driver</t>
    </r>
    <r>
      <rPr>
        <b/>
        <sz val="11"/>
        <rFont val="宋体"/>
        <charset val="134"/>
      </rPr>
      <t>转化效率公差</t>
    </r>
  </si>
  <si>
    <r>
      <rPr>
        <b/>
        <sz val="11"/>
        <rFont val="Calibri"/>
        <charset val="134"/>
      </rPr>
      <t>4. HP EBL</t>
    </r>
    <r>
      <rPr>
        <b/>
        <sz val="11"/>
        <rFont val="宋体"/>
        <charset val="134"/>
      </rPr>
      <t>功耗计算方式（</t>
    </r>
    <r>
      <rPr>
        <b/>
        <sz val="11"/>
        <rFont val="Calibri"/>
        <charset val="134"/>
      </rPr>
      <t>150nit</t>
    </r>
    <r>
      <rPr>
        <b/>
        <sz val="11"/>
        <rFont val="宋体"/>
        <charset val="134"/>
      </rPr>
      <t>基准）</t>
    </r>
  </si>
  <si>
    <t>逻辑功耗</t>
  </si>
  <si>
    <t>OD OFF</t>
  </si>
  <si>
    <t>OD ON</t>
  </si>
  <si>
    <r>
      <rPr>
        <sz val="11"/>
        <color theme="1"/>
        <rFont val="微软雅黑"/>
        <charset val="134"/>
      </rPr>
      <t>总功耗</t>
    </r>
    <r>
      <rPr>
        <sz val="11"/>
        <color theme="1"/>
        <rFont val="微软雅黑"/>
        <charset val="134"/>
      </rPr>
      <t>(Max)</t>
    </r>
  </si>
  <si>
    <t>亮度</t>
  </si>
  <si>
    <r>
      <rPr>
        <sz val="11"/>
        <color theme="1"/>
        <rFont val="微软雅黑"/>
        <charset val="134"/>
      </rPr>
      <t>BLU</t>
    </r>
    <r>
      <rPr>
        <sz val="11"/>
        <color theme="1"/>
        <rFont val="微软雅黑"/>
        <charset val="134"/>
      </rPr>
      <t xml:space="preserve"> </t>
    </r>
    <r>
      <rPr>
        <sz val="11"/>
        <color theme="1"/>
        <rFont val="微软雅黑"/>
        <charset val="134"/>
      </rPr>
      <t>功耗</t>
    </r>
    <r>
      <rPr>
        <sz val="11"/>
        <color theme="1"/>
        <rFont val="微软雅黑"/>
        <charset val="134"/>
      </rPr>
      <t>(Max)</t>
    </r>
  </si>
  <si>
    <t>线性关系</t>
  </si>
  <si>
    <r>
      <rPr>
        <sz val="11"/>
        <color theme="1"/>
        <rFont val="宋体"/>
        <charset val="134"/>
        <scheme val="minor"/>
      </rPr>
      <t>FG</t>
    </r>
    <r>
      <rPr>
        <sz val="11"/>
        <color theme="1"/>
        <rFont val="宋体"/>
        <charset val="134"/>
        <scheme val="minor"/>
      </rPr>
      <t xml:space="preserve"> Code</t>
    </r>
  </si>
  <si>
    <t>客户向</t>
  </si>
  <si>
    <t>Boder_L</t>
  </si>
  <si>
    <r>
      <rPr>
        <sz val="11"/>
        <color theme="1"/>
        <rFont val="宋体"/>
        <charset val="134"/>
        <scheme val="minor"/>
      </rPr>
      <t>Boder_</t>
    </r>
    <r>
      <rPr>
        <sz val="11"/>
        <color theme="1"/>
        <rFont val="宋体"/>
        <charset val="134"/>
        <scheme val="minor"/>
      </rPr>
      <t>R</t>
    </r>
  </si>
  <si>
    <r>
      <rPr>
        <sz val="11"/>
        <color theme="1"/>
        <rFont val="宋体"/>
        <charset val="134"/>
        <scheme val="minor"/>
      </rPr>
      <t>Boder_</t>
    </r>
    <r>
      <rPr>
        <sz val="11"/>
        <color theme="1"/>
        <rFont val="宋体"/>
        <charset val="134"/>
        <scheme val="minor"/>
      </rPr>
      <t>T</t>
    </r>
  </si>
  <si>
    <r>
      <rPr>
        <sz val="11"/>
        <color theme="1"/>
        <rFont val="宋体"/>
        <charset val="134"/>
        <scheme val="minor"/>
      </rPr>
      <t>Boder_</t>
    </r>
    <r>
      <rPr>
        <sz val="11"/>
        <color theme="1"/>
        <rFont val="宋体"/>
        <charset val="134"/>
        <scheme val="minor"/>
      </rPr>
      <t>D</t>
    </r>
  </si>
  <si>
    <t>LCM Boder_L</t>
  </si>
  <si>
    <t>Panel Boder_L</t>
  </si>
  <si>
    <t>LCM Boder_R</t>
  </si>
  <si>
    <t>Panel Boder_R</t>
  </si>
  <si>
    <t>LCM Boder_T</t>
  </si>
  <si>
    <t>Panel Boder_T</t>
  </si>
  <si>
    <t>LCM Boder_D</t>
  </si>
  <si>
    <t>CF_to_AA_D</t>
  </si>
  <si>
    <t>CF_to_TFT_D</t>
  </si>
  <si>
    <r>
      <rPr>
        <sz val="16"/>
        <color theme="1"/>
        <rFont val="Calibri"/>
        <charset val="134"/>
      </rPr>
      <t>Module Thickness</t>
    </r>
    <r>
      <rPr>
        <b/>
        <sz val="16"/>
        <color rgb="FF0000CC"/>
        <rFont val="宋体"/>
        <charset val="134"/>
      </rPr>
      <t>（U/L/R）</t>
    </r>
  </si>
  <si>
    <r>
      <rPr>
        <sz val="16"/>
        <color theme="1"/>
        <rFont val="Calibri"/>
        <charset val="134"/>
      </rPr>
      <t>Module Thickness</t>
    </r>
    <r>
      <rPr>
        <b/>
        <sz val="16"/>
        <color rgb="FF0000CC"/>
        <rFont val="宋体"/>
        <charset val="134"/>
      </rPr>
      <t>（D）W/O PCB</t>
    </r>
  </si>
  <si>
    <r>
      <rPr>
        <sz val="11"/>
        <rFont val="Calibri"/>
        <charset val="134"/>
      </rPr>
      <t>PCB Side</t>
    </r>
    <r>
      <rPr>
        <b/>
        <sz val="11"/>
        <color rgb="FF0000CC"/>
        <rFont val="宋体"/>
        <charset val="134"/>
      </rPr>
      <t>（W/O CNT）</t>
    </r>
  </si>
  <si>
    <t>密度參考</t>
  </si>
  <si>
    <t>强度增益</t>
  </si>
  <si>
    <t>Choose Label Position</t>
  </si>
  <si>
    <t>Tolarence</t>
  </si>
  <si>
    <t>Variance</t>
  </si>
  <si>
    <t>Density (g/cm^3)</t>
  </si>
  <si>
    <t>Volume (mm^3)</t>
  </si>
  <si>
    <t>Remark/ Material</t>
  </si>
  <si>
    <t>DX Normal</t>
  </si>
  <si>
    <t>CF Polarizer</t>
  </si>
  <si>
    <t>模組扣除Cell Tape/ Label</t>
  </si>
  <si>
    <t>Open-Cell</t>
  </si>
  <si>
    <r>
      <rPr>
        <sz val="11"/>
        <color rgb="FF0000CC"/>
        <rFont val="Calibri"/>
        <charset val="134"/>
      </rPr>
      <t>DX</t>
    </r>
    <r>
      <rPr>
        <sz val="11"/>
        <color rgb="FF0000CC"/>
        <rFont val="宋体"/>
        <charset val="134"/>
      </rPr>
      <t>高温</t>
    </r>
  </si>
  <si>
    <t>Prism</t>
  </si>
  <si>
    <t>Opt.</t>
  </si>
  <si>
    <t>SH77-150</t>
  </si>
  <si>
    <t>PCB Fix Tape</t>
  </si>
  <si>
    <t>NEG</t>
  </si>
  <si>
    <t>CN EXG</t>
  </si>
  <si>
    <t>SH26-155W</t>
  </si>
  <si>
    <t>TFT</t>
  </si>
  <si>
    <t>PCB Thickness</t>
  </si>
  <si>
    <t>電路提供，請跟電路確認清楚</t>
  </si>
  <si>
    <t>CN Lotous</t>
  </si>
  <si>
    <t>Ubright</t>
  </si>
  <si>
    <t>TFT Polarizer</t>
  </si>
  <si>
    <t>Panel Fix Tape</t>
  </si>
  <si>
    <t xml:space="preserve">Sn </t>
  </si>
  <si>
    <t>CN Astra</t>
  </si>
  <si>
    <t>三菱</t>
  </si>
  <si>
    <t>M20-150</t>
  </si>
  <si>
    <t>Gap</t>
  </si>
  <si>
    <t>FPC</t>
  </si>
  <si>
    <t>AGC Rezosta</t>
  </si>
  <si>
    <t>長陽</t>
  </si>
  <si>
    <t>SDM188</t>
  </si>
  <si>
    <t>Film 1/ Diff_u</t>
  </si>
  <si>
    <t>小白反</t>
  </si>
  <si>
    <t>PCB  Length</t>
  </si>
  <si>
    <t>AGC Wizus</t>
  </si>
  <si>
    <t>Dowm Dif</t>
  </si>
  <si>
    <t>Glotech</t>
  </si>
  <si>
    <t>QD Film</t>
  </si>
  <si>
    <t>Film 2/ Lens_u</t>
  </si>
  <si>
    <t>小白反~LGP Gap</t>
  </si>
  <si>
    <t>P-Cover</t>
  </si>
  <si>
    <t>PCB Width</t>
  </si>
  <si>
    <r>
      <rPr>
        <sz val="11"/>
        <color theme="1"/>
        <rFont val="Calibri"/>
        <charset val="134"/>
      </rPr>
      <t>CH(</t>
    </r>
    <r>
      <rPr>
        <sz val="11"/>
        <color theme="1"/>
        <rFont val="宋体"/>
        <charset val="134"/>
      </rPr>
      <t>彩虹</t>
    </r>
    <r>
      <rPr>
        <sz val="11"/>
        <color theme="1"/>
        <rFont val="Calibri"/>
        <charset val="134"/>
      </rPr>
      <t>)</t>
    </r>
  </si>
  <si>
    <t>Film 3/ Lens_d</t>
  </si>
  <si>
    <t>Film 4/ Diff_d</t>
  </si>
  <si>
    <t>LB Fix Tape</t>
  </si>
  <si>
    <t>Total Thickness(Typ)</t>
  </si>
  <si>
    <r>
      <rPr>
        <sz val="11"/>
        <color theme="1"/>
        <rFont val="Calibri"/>
        <charset val="134"/>
      </rPr>
      <t xml:space="preserve">NEG </t>
    </r>
    <r>
      <rPr>
        <sz val="11"/>
        <color theme="1"/>
        <rFont val="宋体"/>
        <charset val="134"/>
      </rPr>
      <t>高温</t>
    </r>
  </si>
  <si>
    <t>LB FPC</t>
  </si>
  <si>
    <t>Tolerance</t>
  </si>
  <si>
    <t>Polarizer</t>
  </si>
  <si>
    <r>
      <rPr>
        <sz val="11"/>
        <color theme="1"/>
        <rFont val="Calibri"/>
        <charset val="134"/>
      </rPr>
      <t>Thickness(Max)</t>
    </r>
    <r>
      <rPr>
        <sz val="11"/>
        <color rgb="FF0000CC"/>
        <rFont val="宋体"/>
        <charset val="134"/>
      </rPr>
      <t>评估值</t>
    </r>
  </si>
  <si>
    <t>成本增益</t>
  </si>
  <si>
    <t>Reflector Tape</t>
  </si>
  <si>
    <t>Cell Tape</t>
  </si>
  <si>
    <t>Spec(Max)</t>
  </si>
  <si>
    <r>
      <rPr>
        <sz val="11"/>
        <color theme="1"/>
        <rFont val="宋体"/>
        <charset val="134"/>
      </rPr>
      <t>热压</t>
    </r>
    <r>
      <rPr>
        <sz val="11"/>
        <color theme="1"/>
        <rFont val="Calibri"/>
        <charset val="134"/>
      </rPr>
      <t>PMMA</t>
    </r>
  </si>
  <si>
    <t>Refector</t>
  </si>
  <si>
    <r>
      <rPr>
        <sz val="11"/>
        <color theme="1"/>
        <rFont val="宋体"/>
        <charset val="134"/>
      </rPr>
      <t>热压</t>
    </r>
    <r>
      <rPr>
        <sz val="11"/>
        <color theme="1"/>
        <rFont val="Calibri"/>
        <charset val="134"/>
      </rPr>
      <t>PC</t>
    </r>
  </si>
  <si>
    <t>单折</t>
  </si>
  <si>
    <r>
      <rPr>
        <sz val="11"/>
        <color theme="1"/>
        <rFont val="Calibri"/>
        <charset val="134"/>
      </rPr>
      <t>Punch(U/L/R</t>
    </r>
    <r>
      <rPr>
        <sz val="11"/>
        <color theme="1"/>
        <rFont val="宋体"/>
        <charset val="134"/>
      </rPr>
      <t>侧</t>
    </r>
    <r>
      <rPr>
        <sz val="11"/>
        <color theme="1"/>
        <rFont val="Calibri"/>
        <charset val="134"/>
      </rPr>
      <t>)</t>
    </r>
  </si>
  <si>
    <r>
      <rPr>
        <sz val="11"/>
        <color theme="1"/>
        <rFont val="Calibri"/>
        <charset val="134"/>
      </rPr>
      <t>PCB Side</t>
    </r>
    <r>
      <rPr>
        <b/>
        <sz val="11"/>
        <color rgb="FF0000CC"/>
        <rFont val="宋体"/>
        <charset val="134"/>
      </rPr>
      <t>（</t>
    </r>
    <r>
      <rPr>
        <b/>
        <sz val="11"/>
        <color rgb="FF0000CC"/>
        <rFont val="Calibri"/>
        <charset val="134"/>
      </rPr>
      <t>W/I CNT</t>
    </r>
    <r>
      <rPr>
        <b/>
        <sz val="11"/>
        <color rgb="FF0000CC"/>
        <rFont val="宋体"/>
        <charset val="134"/>
      </rPr>
      <t>）</t>
    </r>
  </si>
  <si>
    <t>DA01-H38</t>
  </si>
  <si>
    <r>
      <rPr>
        <sz val="11"/>
        <color theme="1"/>
        <rFont val="宋体"/>
        <charset val="134"/>
      </rPr>
      <t>注塑</t>
    </r>
    <r>
      <rPr>
        <sz val="11"/>
        <color theme="1"/>
        <rFont val="Calibri"/>
        <charset val="134"/>
      </rPr>
      <t>PMMA</t>
    </r>
  </si>
  <si>
    <t>双折</t>
  </si>
  <si>
    <r>
      <rPr>
        <sz val="11"/>
        <color theme="1"/>
        <rFont val="Calibri"/>
        <charset val="134"/>
      </rPr>
      <t>Back Cover</t>
    </r>
    <r>
      <rPr>
        <sz val="11"/>
        <color theme="1"/>
        <rFont val="宋体"/>
        <charset val="134"/>
      </rPr>
      <t>镂空</t>
    </r>
    <r>
      <rPr>
        <sz val="11"/>
        <color theme="1"/>
        <rFont val="Calibri"/>
        <charset val="134"/>
      </rPr>
      <t>(H)</t>
    </r>
  </si>
  <si>
    <r>
      <rPr>
        <sz val="11"/>
        <color theme="1"/>
        <rFont val="宋体"/>
        <charset val="134"/>
      </rPr>
      <t>注塑</t>
    </r>
    <r>
      <rPr>
        <sz val="11"/>
        <color theme="1"/>
        <rFont val="Calibri"/>
        <charset val="134"/>
      </rPr>
      <t>PC</t>
    </r>
  </si>
  <si>
    <t>Module Label</t>
  </si>
  <si>
    <r>
      <rPr>
        <sz val="11"/>
        <color theme="1"/>
        <rFont val="Calibri"/>
        <charset val="134"/>
      </rPr>
      <t>Back Cover</t>
    </r>
    <r>
      <rPr>
        <sz val="11"/>
        <color theme="1"/>
        <rFont val="宋体"/>
        <charset val="134"/>
      </rPr>
      <t>镂空</t>
    </r>
    <r>
      <rPr>
        <sz val="11"/>
        <color theme="1"/>
        <rFont val="Calibri"/>
        <charset val="134"/>
      </rPr>
      <t>(L)</t>
    </r>
  </si>
  <si>
    <t>0.2t背板强度(Kgf)</t>
  </si>
  <si>
    <t>0.3t背板强度(Kgf)</t>
  </si>
  <si>
    <t>MF</t>
  </si>
  <si>
    <t>SGLC</t>
  </si>
  <si>
    <t>Module</t>
  </si>
  <si>
    <t>Cell tape</t>
  </si>
  <si>
    <t>SUS 430</t>
  </si>
  <si>
    <r>
      <rPr>
        <sz val="11"/>
        <color theme="1"/>
        <rFont val="宋体"/>
        <charset val="134"/>
      </rPr>
      <t>建议3</t>
    </r>
    <r>
      <rPr>
        <sz val="11"/>
        <color theme="1"/>
        <rFont val="Calibri"/>
        <charset val="134"/>
      </rPr>
      <t>g</t>
    </r>
  </si>
  <si>
    <t>SUS 304</t>
  </si>
  <si>
    <t>CNT</t>
  </si>
  <si>
    <t>AL5052</t>
  </si>
  <si>
    <r>
      <rPr>
        <b/>
        <sz val="11"/>
        <rFont val="Calibri"/>
        <charset val="134"/>
      </rPr>
      <t>Spec</t>
    </r>
    <r>
      <rPr>
        <sz val="11"/>
        <rFont val="Calibri"/>
        <charset val="134"/>
      </rPr>
      <t>(Max)</t>
    </r>
  </si>
  <si>
    <t>Total Weight(Typ)</t>
  </si>
  <si>
    <t>GL57 H38</t>
  </si>
  <si>
    <r>
      <rPr>
        <sz val="11"/>
        <color theme="1"/>
        <rFont val="Calibri"/>
        <charset val="134"/>
      </rPr>
      <t>Weight(Max)</t>
    </r>
    <r>
      <rPr>
        <sz val="11"/>
        <color rgb="FF0000CC"/>
        <rFont val="宋体"/>
        <charset val="134"/>
      </rPr>
      <t>评估值</t>
    </r>
  </si>
  <si>
    <t>Al5B59-H38</t>
  </si>
  <si>
    <t>GM 55 H38</t>
  </si>
  <si>
    <t>Label贴附位置</t>
  </si>
  <si>
    <t>TM 60</t>
  </si>
  <si>
    <r>
      <rPr>
        <sz val="11"/>
        <color theme="1"/>
        <rFont val="Calibri"/>
        <charset val="134"/>
      </rPr>
      <t>Cell Tape(</t>
    </r>
    <r>
      <rPr>
        <sz val="11"/>
        <color theme="1"/>
        <rFont val="宋体"/>
        <charset val="134"/>
      </rPr>
      <t>无</t>
    </r>
    <r>
      <rPr>
        <sz val="11"/>
        <color theme="1"/>
        <rFont val="Calibri"/>
        <charset val="134"/>
      </rPr>
      <t>punch)</t>
    </r>
  </si>
  <si>
    <r>
      <rPr>
        <sz val="11"/>
        <color theme="1"/>
        <rFont val="Calibri"/>
        <charset val="134"/>
      </rPr>
      <t>Cell Tape(punch</t>
    </r>
    <r>
      <rPr>
        <sz val="11"/>
        <color theme="1"/>
        <rFont val="宋体"/>
        <charset val="134"/>
      </rPr>
      <t>外</t>
    </r>
    <r>
      <rPr>
        <sz val="11"/>
        <color theme="1"/>
        <rFont val="Calibri"/>
        <charset val="134"/>
      </rPr>
      <t>)</t>
    </r>
  </si>
  <si>
    <r>
      <rPr>
        <sz val="11"/>
        <color theme="1"/>
        <rFont val="Calibri"/>
        <charset val="134"/>
      </rPr>
      <t>Cell Tape(punch</t>
    </r>
    <r>
      <rPr>
        <sz val="11"/>
        <color theme="1"/>
        <rFont val="宋体"/>
        <charset val="134"/>
      </rPr>
      <t>内</t>
    </r>
    <r>
      <rPr>
        <sz val="11"/>
        <color theme="1"/>
        <rFont val="Calibri"/>
        <charset val="134"/>
      </rPr>
      <t>)</t>
    </r>
  </si>
  <si>
    <r>
      <rPr>
        <sz val="11"/>
        <color theme="1"/>
        <rFont val="Calibri"/>
        <charset val="134"/>
      </rPr>
      <t>B/C(</t>
    </r>
    <r>
      <rPr>
        <sz val="11"/>
        <color theme="1"/>
        <rFont val="宋体"/>
        <charset val="134"/>
      </rPr>
      <t>无</t>
    </r>
    <r>
      <rPr>
        <sz val="11"/>
        <color theme="1"/>
        <rFont val="Calibri"/>
        <charset val="134"/>
      </rPr>
      <t>punch)</t>
    </r>
  </si>
  <si>
    <r>
      <rPr>
        <sz val="11"/>
        <color theme="1"/>
        <rFont val="Calibri"/>
        <charset val="134"/>
      </rPr>
      <t>B/C(punch</t>
    </r>
    <r>
      <rPr>
        <sz val="11"/>
        <color theme="1"/>
        <rFont val="宋体"/>
        <charset val="134"/>
      </rPr>
      <t>外</t>
    </r>
    <r>
      <rPr>
        <sz val="11"/>
        <color theme="1"/>
        <rFont val="Calibri"/>
        <charset val="134"/>
      </rPr>
      <t>)</t>
    </r>
  </si>
  <si>
    <r>
      <rPr>
        <sz val="11"/>
        <color theme="1"/>
        <rFont val="Calibri"/>
        <charset val="134"/>
      </rPr>
      <t>B/C(Cell tape</t>
    </r>
    <r>
      <rPr>
        <sz val="11"/>
        <color theme="1"/>
        <rFont val="宋体"/>
        <charset val="134"/>
      </rPr>
      <t>不在</t>
    </r>
    <r>
      <rPr>
        <sz val="11"/>
        <color theme="1"/>
        <rFont val="Calibri"/>
        <charset val="134"/>
      </rPr>
      <t>punch</t>
    </r>
    <r>
      <rPr>
        <sz val="11"/>
        <color theme="1"/>
        <rFont val="宋体"/>
        <charset val="134"/>
      </rPr>
      <t>上</t>
    </r>
    <r>
      <rPr>
        <sz val="11"/>
        <color theme="1"/>
        <rFont val="Calibri"/>
        <charset val="134"/>
      </rPr>
      <t>)</t>
    </r>
  </si>
  <si>
    <r>
      <rPr>
        <sz val="11"/>
        <color theme="1"/>
        <rFont val="Calibri"/>
        <charset val="134"/>
      </rPr>
      <t>B/C(Cell tape</t>
    </r>
    <r>
      <rPr>
        <sz val="11"/>
        <color theme="1"/>
        <rFont val="宋体"/>
        <charset val="134"/>
      </rPr>
      <t>在</t>
    </r>
    <r>
      <rPr>
        <sz val="11"/>
        <color theme="1"/>
        <rFont val="Calibri"/>
        <charset val="134"/>
      </rPr>
      <t>punch</t>
    </r>
    <r>
      <rPr>
        <sz val="11"/>
        <color theme="1"/>
        <rFont val="宋体"/>
        <charset val="134"/>
      </rPr>
      <t>上</t>
    </r>
    <r>
      <rPr>
        <sz val="11"/>
        <color theme="1"/>
        <rFont val="Calibri"/>
        <charset val="134"/>
      </rPr>
      <t>)</t>
    </r>
  </si>
  <si>
    <t>X-Direction</t>
  </si>
  <si>
    <t>Y-Direction</t>
  </si>
  <si>
    <t>GPO
(Left Side)</t>
  </si>
  <si>
    <t>Cell Tape_L</t>
  </si>
  <si>
    <t>DPO
(Top Side)</t>
  </si>
  <si>
    <t>Cell_Tape_T</t>
  </si>
  <si>
    <t>Back Cover_L</t>
  </si>
  <si>
    <t>MF To Back Cover_Gap_L</t>
  </si>
  <si>
    <t>MF To Back Cover_Gap_T</t>
  </si>
  <si>
    <t>MF_L</t>
  </si>
  <si>
    <t>MF_T</t>
  </si>
  <si>
    <t>Panel guide_L</t>
  </si>
  <si>
    <t>Panel guide_T</t>
  </si>
  <si>
    <t>CF_To_TFT_L</t>
  </si>
  <si>
    <t>CF_To_TFT_T</t>
  </si>
  <si>
    <t>CF Glass To AA_L</t>
  </si>
  <si>
    <t>CF Glass To AA_T</t>
  </si>
  <si>
    <t>GP
(Right Side)</t>
  </si>
  <si>
    <r>
      <rPr>
        <sz val="11"/>
        <color theme="1"/>
        <rFont val="Calibri"/>
        <charset val="134"/>
      </rPr>
      <t xml:space="preserve">DP
(Down Side)
</t>
    </r>
    <r>
      <rPr>
        <b/>
        <sz val="11"/>
        <color rgb="FF0000CC"/>
        <rFont val="Calibri"/>
        <charset val="134"/>
      </rPr>
      <t>(W/O FPC)</t>
    </r>
  </si>
  <si>
    <t>Outline With FPC</t>
  </si>
  <si>
    <t>CF Glass To AA_R</t>
  </si>
  <si>
    <t>CF Glass To AA_D</t>
  </si>
  <si>
    <t>CF_To_TFT_R</t>
  </si>
  <si>
    <t>CF_To_TFT_D</t>
  </si>
  <si>
    <t>Panel guide_R</t>
  </si>
  <si>
    <t>Panel guide_D</t>
  </si>
  <si>
    <r>
      <rPr>
        <sz val="11"/>
        <color theme="1"/>
        <rFont val="Calibri"/>
        <charset val="134"/>
      </rPr>
      <t>Panel</t>
    </r>
    <r>
      <rPr>
        <sz val="11"/>
        <color theme="1"/>
        <rFont val="宋体"/>
        <charset val="134"/>
      </rPr>
      <t>与</t>
    </r>
    <r>
      <rPr>
        <sz val="11"/>
        <color theme="1"/>
        <rFont val="Calibri"/>
        <charset val="134"/>
      </rPr>
      <t>U</t>
    </r>
    <r>
      <rPr>
        <sz val="11"/>
        <color theme="1"/>
        <rFont val="宋体"/>
        <charset val="134"/>
      </rPr>
      <t>折</t>
    </r>
    <r>
      <rPr>
        <sz val="11"/>
        <color theme="1"/>
        <rFont val="Calibri"/>
        <charset val="134"/>
      </rPr>
      <t>Gap</t>
    </r>
  </si>
  <si>
    <r>
      <rPr>
        <sz val="11"/>
        <color theme="1"/>
        <rFont val="Calibri"/>
        <charset val="134"/>
      </rPr>
      <t>Panel</t>
    </r>
    <r>
      <rPr>
        <sz val="11"/>
        <color theme="1"/>
        <rFont val="宋体"/>
        <charset val="134"/>
      </rPr>
      <t>与</t>
    </r>
    <r>
      <rPr>
        <sz val="11"/>
        <color theme="1"/>
        <rFont val="Calibri"/>
        <charset val="134"/>
      </rPr>
      <t>U</t>
    </r>
    <r>
      <rPr>
        <sz val="11"/>
        <color theme="1"/>
        <rFont val="宋体"/>
        <charset val="134"/>
      </rPr>
      <t>折</t>
    </r>
    <r>
      <rPr>
        <sz val="11"/>
        <color theme="1"/>
        <rFont val="Calibri"/>
        <charset val="134"/>
      </rPr>
      <t>Gap</t>
    </r>
    <r>
      <rPr>
        <sz val="11"/>
        <color theme="1"/>
        <rFont val="宋体"/>
        <charset val="134"/>
      </rPr>
      <t>≥</t>
    </r>
    <r>
      <rPr>
        <sz val="11"/>
        <color theme="1"/>
        <rFont val="Calibri"/>
        <charset val="134"/>
      </rPr>
      <t>0</t>
    </r>
  </si>
  <si>
    <t>MF_R</t>
  </si>
  <si>
    <t>MF To Back Cover_Gap_D</t>
  </si>
  <si>
    <r>
      <rPr>
        <sz val="11"/>
        <color theme="1"/>
        <rFont val="Calibri"/>
        <charset val="134"/>
      </rPr>
      <t>U</t>
    </r>
    <r>
      <rPr>
        <sz val="11"/>
        <color theme="1"/>
        <rFont val="宋体"/>
        <charset val="134"/>
      </rPr>
      <t>折</t>
    </r>
    <r>
      <rPr>
        <sz val="11"/>
        <color theme="1"/>
        <rFont val="Calibri"/>
        <charset val="134"/>
      </rPr>
      <t xml:space="preserve"> to </t>
    </r>
    <r>
      <rPr>
        <sz val="11"/>
        <color theme="1"/>
        <rFont val="宋体"/>
        <charset val="134"/>
      </rPr>
      <t>绝缘</t>
    </r>
    <r>
      <rPr>
        <sz val="11"/>
        <color theme="1"/>
        <rFont val="Calibri"/>
        <charset val="134"/>
      </rPr>
      <t>PET</t>
    </r>
  </si>
  <si>
    <t>MF To Back Cover_Gap_R</t>
  </si>
  <si>
    <t>Back Cover_D</t>
  </si>
  <si>
    <r>
      <rPr>
        <sz val="11"/>
        <color theme="1"/>
        <rFont val="宋体"/>
        <charset val="134"/>
      </rPr>
      <t>绝缘</t>
    </r>
    <r>
      <rPr>
        <sz val="11"/>
        <color theme="1"/>
        <rFont val="Calibri"/>
        <charset val="134"/>
      </rPr>
      <t>PET</t>
    </r>
    <r>
      <rPr>
        <sz val="11"/>
        <color theme="1"/>
        <rFont val="宋体"/>
        <charset val="134"/>
      </rPr>
      <t>厚度</t>
    </r>
  </si>
  <si>
    <t>Cell Tape_D</t>
  </si>
  <si>
    <t>Cell Tape_R</t>
  </si>
  <si>
    <r>
      <rPr>
        <sz val="11"/>
        <color theme="1"/>
        <rFont val="Calibri"/>
        <charset val="134"/>
      </rPr>
      <t>Outline_Y(W/O FPC)</t>
    </r>
  </si>
  <si>
    <t>min</t>
  </si>
  <si>
    <r>
      <rPr>
        <sz val="11"/>
        <color theme="1"/>
        <rFont val="Calibri"/>
        <charset val="134"/>
      </rPr>
      <t>U</t>
    </r>
    <r>
      <rPr>
        <sz val="11"/>
        <color theme="1"/>
        <rFont val="宋体"/>
        <charset val="134"/>
      </rPr>
      <t>折</t>
    </r>
    <r>
      <rPr>
        <sz val="11"/>
        <color theme="1"/>
        <rFont val="Calibri"/>
        <charset val="134"/>
      </rPr>
      <t>_to_BC_X Gap</t>
    </r>
  </si>
  <si>
    <r>
      <rPr>
        <sz val="11"/>
        <color theme="1"/>
        <rFont val="宋体"/>
        <charset val="134"/>
      </rPr>
      <t>默认</t>
    </r>
    <r>
      <rPr>
        <sz val="11"/>
        <color theme="1"/>
        <rFont val="Calibri"/>
        <charset val="134"/>
      </rPr>
      <t>2mm(Rule)</t>
    </r>
  </si>
  <si>
    <r>
      <rPr>
        <sz val="11"/>
        <color theme="1"/>
        <rFont val="宋体"/>
        <charset val="134"/>
        <scheme val="minor"/>
      </rPr>
      <t>L</t>
    </r>
    <r>
      <rPr>
        <sz val="11"/>
        <color indexed="8"/>
        <rFont val="宋体"/>
        <charset val="134"/>
      </rPr>
      <t>GP膨胀量计算：</t>
    </r>
  </si>
  <si>
    <t>LGP设计值 (X轴向)</t>
  </si>
  <si>
    <r>
      <rPr>
        <sz val="11"/>
        <color theme="1"/>
        <rFont val="Calibri"/>
        <charset val="134"/>
      </rPr>
      <t>X</t>
    </r>
    <r>
      <rPr>
        <sz val="11"/>
        <color theme="1"/>
        <rFont val="宋体"/>
        <charset val="134"/>
      </rPr>
      <t>向漏光评估</t>
    </r>
  </si>
  <si>
    <t>LGP 线膨胀系数</t>
  </si>
  <si>
    <t>β(入射角度)</t>
  </si>
  <si>
    <t>胶框线膨胀系数</t>
  </si>
  <si>
    <t>α(air出射角)</t>
  </si>
  <si>
    <t>LGP 吸湿率</t>
  </si>
  <si>
    <t>γ(Film出射角)</t>
  </si>
  <si>
    <r>
      <rPr>
        <sz val="11"/>
        <color theme="1"/>
        <rFont val="Calibri"/>
        <charset val="134"/>
      </rPr>
      <t>1. LGP</t>
    </r>
    <r>
      <rPr>
        <sz val="11"/>
        <color theme="1"/>
        <rFont val="宋体"/>
        <charset val="134"/>
      </rPr>
      <t>权重</t>
    </r>
  </si>
  <si>
    <t>DPO侧</t>
  </si>
  <si>
    <t>GP侧短边</t>
  </si>
  <si>
    <t>测试温度</t>
  </si>
  <si>
    <t>t1(上POL厚度)</t>
  </si>
  <si>
    <t>LGP 膨胀</t>
  </si>
  <si>
    <t>t2(上玻璃厚度)</t>
  </si>
  <si>
    <t>单边Gap 设计</t>
  </si>
  <si>
    <t>t3(下玻璃厚度)</t>
  </si>
  <si>
    <t>单边Gap 計算</t>
  </si>
  <si>
    <t>t4(下POL厚度)</t>
  </si>
  <si>
    <t>t5(Air Gap)</t>
  </si>
  <si>
    <t>t6(总Film厚度)</t>
  </si>
  <si>
    <t>2. MF</t>
  </si>
  <si>
    <t>权重</t>
  </si>
  <si>
    <t>t7(LGP厚度)</t>
  </si>
  <si>
    <t>3D设计值</t>
  </si>
  <si>
    <t>n1(Glass折射率)</t>
  </si>
  <si>
    <t>n2(Film折射率)</t>
  </si>
  <si>
    <r>
      <rPr>
        <sz val="11"/>
        <color theme="1"/>
        <rFont val="Calibri"/>
        <charset val="134"/>
      </rPr>
      <t xml:space="preserve">PC </t>
    </r>
    <r>
      <rPr>
        <sz val="11"/>
        <color theme="1"/>
        <rFont val="宋体"/>
        <charset val="134"/>
      </rPr>
      <t>黑</t>
    </r>
  </si>
  <si>
    <t>T1(Film膨胀空间)</t>
  </si>
  <si>
    <t>T2(Film尺寸公差)</t>
  </si>
  <si>
    <t>3. 下扩散黑边印刷到AA Gap权重</t>
  </si>
  <si>
    <r>
      <rPr>
        <sz val="11"/>
        <color theme="1"/>
        <rFont val="宋体"/>
        <charset val="134"/>
        <scheme val="minor"/>
      </rPr>
      <t>T</t>
    </r>
    <r>
      <rPr>
        <sz val="11"/>
        <color theme="1"/>
        <rFont val="宋体"/>
        <charset val="134"/>
        <scheme val="minor"/>
      </rPr>
      <t>3</t>
    </r>
    <r>
      <rPr>
        <sz val="11"/>
        <color theme="1"/>
        <rFont val="宋体"/>
        <charset val="134"/>
        <scheme val="minor"/>
      </rPr>
      <t>(黑色油墨丝印公差)</t>
    </r>
  </si>
  <si>
    <t>T4(Panel Guide)</t>
  </si>
  <si>
    <t>x1(线缺失分析)</t>
  </si>
  <si>
    <t>x2(暗影漏光分析)</t>
  </si>
  <si>
    <t>DPO侧-边缘漏光分析</t>
  </si>
  <si>
    <r>
      <rPr>
        <sz val="11"/>
        <color theme="1"/>
        <rFont val="宋体"/>
        <charset val="134"/>
        <scheme val="minor"/>
      </rPr>
      <t>≤6</t>
    </r>
    <r>
      <rPr>
        <sz val="11"/>
        <color theme="1"/>
        <rFont val="宋体"/>
        <charset val="134"/>
        <scheme val="minor"/>
      </rPr>
      <t>.2</t>
    </r>
  </si>
  <si>
    <t>GP侧短边-边缘漏光分析</t>
  </si>
  <si>
    <r>
      <rPr>
        <sz val="11"/>
        <color theme="1"/>
        <rFont val="Calibri"/>
        <charset val="134"/>
      </rPr>
      <t xml:space="preserve">Cell Tape </t>
    </r>
    <r>
      <rPr>
        <sz val="11"/>
        <color theme="1"/>
        <rFont val="宋体"/>
        <charset val="134"/>
      </rPr>
      <t>貼覆面積</t>
    </r>
    <r>
      <rPr>
        <sz val="11"/>
        <color theme="1"/>
        <rFont val="Calibri"/>
        <charset val="134"/>
      </rPr>
      <t>_X Direction</t>
    </r>
  </si>
  <si>
    <r>
      <rPr>
        <sz val="11"/>
        <color theme="1"/>
        <rFont val="Calibri"/>
        <charset val="134"/>
      </rPr>
      <t xml:space="preserve">Cell Tape </t>
    </r>
    <r>
      <rPr>
        <sz val="11"/>
        <color theme="1"/>
        <rFont val="宋体"/>
        <charset val="134"/>
      </rPr>
      <t>貼覆面積</t>
    </r>
    <r>
      <rPr>
        <sz val="11"/>
        <color theme="1"/>
        <rFont val="Calibri"/>
        <charset val="134"/>
      </rPr>
      <t>_Y Direction</t>
    </r>
  </si>
  <si>
    <t>NB项目，检查基准角度为直接目视边缘位置，45°</t>
  </si>
  <si>
    <t>CF_X_Size</t>
  </si>
  <si>
    <t>CF_Y_Size</t>
  </si>
  <si>
    <t>t(玻璃厚度)</t>
  </si>
  <si>
    <t>AA_to CF Polarzer_L</t>
  </si>
  <si>
    <r>
      <rPr>
        <sz val="11"/>
        <color theme="1"/>
        <rFont val="微软雅黑"/>
        <charset val="134"/>
      </rPr>
      <t>建議</t>
    </r>
    <r>
      <rPr>
        <sz val="11"/>
        <color theme="1"/>
        <rFont val="Calibri"/>
        <charset val="134"/>
      </rPr>
      <t>Min=1.0</t>
    </r>
  </si>
  <si>
    <t>AA_to CF Polarzer_T</t>
  </si>
  <si>
    <r>
      <rPr>
        <sz val="11"/>
        <color theme="1"/>
        <rFont val="宋体"/>
        <charset val="134"/>
      </rPr>
      <t>建議</t>
    </r>
    <r>
      <rPr>
        <sz val="11"/>
        <color theme="1"/>
        <rFont val="Calibri"/>
        <charset val="134"/>
      </rPr>
      <t>Min=1.0</t>
    </r>
  </si>
  <si>
    <t>n(Glass折射率)</t>
  </si>
  <si>
    <r>
      <rPr>
        <sz val="11"/>
        <color theme="1"/>
        <rFont val="Calibri"/>
        <charset val="134"/>
      </rPr>
      <t xml:space="preserve">GPO (Left Side) </t>
    </r>
    <r>
      <rPr>
        <sz val="11"/>
        <color theme="1"/>
        <rFont val="宋体"/>
        <charset val="134"/>
      </rPr>
      <t>貼覆面積</t>
    </r>
  </si>
  <si>
    <r>
      <rPr>
        <sz val="11"/>
        <color theme="1"/>
        <rFont val="Calibri"/>
        <charset val="134"/>
      </rPr>
      <t xml:space="preserve">DPO (Top Side) </t>
    </r>
    <r>
      <rPr>
        <sz val="11"/>
        <color theme="1"/>
        <rFont val="宋体"/>
        <charset val="134"/>
      </rPr>
      <t>貼覆面積</t>
    </r>
  </si>
  <si>
    <t>T1(POL贴附公差)</t>
  </si>
  <si>
    <r>
      <rPr>
        <sz val="11"/>
        <color theme="1"/>
        <rFont val="Calibri"/>
        <charset val="134"/>
      </rPr>
      <t>GPO BM</t>
    </r>
    <r>
      <rPr>
        <sz val="11"/>
        <color theme="1"/>
        <rFont val="宋体"/>
        <charset val="134"/>
      </rPr>
      <t>挖槽→</t>
    </r>
    <r>
      <rPr>
        <sz val="11"/>
        <color theme="1"/>
        <rFont val="Calibri"/>
        <charset val="134"/>
      </rPr>
      <t>POL</t>
    </r>
  </si>
  <si>
    <t>参考右侧计算结果</t>
  </si>
  <si>
    <r>
      <rPr>
        <sz val="11"/>
        <color theme="1"/>
        <rFont val="Calibri"/>
        <charset val="134"/>
      </rPr>
      <t>DP BM</t>
    </r>
    <r>
      <rPr>
        <sz val="11"/>
        <color theme="1"/>
        <rFont val="宋体"/>
        <charset val="134"/>
      </rPr>
      <t>挖槽→</t>
    </r>
    <r>
      <rPr>
        <sz val="11"/>
        <color theme="1"/>
        <rFont val="Calibri"/>
        <charset val="134"/>
      </rPr>
      <t>POL</t>
    </r>
  </si>
  <si>
    <t>T2(Cell tape贴附公差)</t>
  </si>
  <si>
    <r>
      <rPr>
        <sz val="11"/>
        <color theme="1"/>
        <rFont val="Calibri"/>
        <charset val="134"/>
      </rPr>
      <t xml:space="preserve">GPO </t>
    </r>
    <r>
      <rPr>
        <sz val="11"/>
        <color theme="1"/>
        <rFont val="宋体"/>
        <charset val="134"/>
      </rPr>
      <t>金属走线→</t>
    </r>
    <r>
      <rPr>
        <sz val="11"/>
        <color theme="1"/>
        <rFont val="Calibri"/>
        <charset val="134"/>
      </rPr>
      <t>AA</t>
    </r>
  </si>
  <si>
    <t>建議＞80um</t>
  </si>
  <si>
    <r>
      <rPr>
        <sz val="11"/>
        <color theme="1"/>
        <rFont val="Calibri"/>
        <charset val="134"/>
      </rPr>
      <t xml:space="preserve">DP </t>
    </r>
    <r>
      <rPr>
        <sz val="11"/>
        <color theme="1"/>
        <rFont val="宋体"/>
        <charset val="134"/>
      </rPr>
      <t>金属走线→</t>
    </r>
    <r>
      <rPr>
        <sz val="11"/>
        <color theme="1"/>
        <rFont val="Calibri"/>
        <charset val="134"/>
      </rPr>
      <t>AA</t>
    </r>
  </si>
  <si>
    <t>x</t>
  </si>
  <si>
    <r>
      <rPr>
        <sz val="11"/>
        <color theme="1"/>
        <rFont val="Calibri"/>
        <charset val="134"/>
      </rPr>
      <t>Cell Tape_L</t>
    </r>
    <r>
      <rPr>
        <sz val="11"/>
        <color theme="1"/>
        <rFont val="宋体"/>
        <charset val="134"/>
      </rPr>
      <t>材质</t>
    </r>
  </si>
  <si>
    <t>双铝 </t>
  </si>
  <si>
    <r>
      <rPr>
        <sz val="11"/>
        <color theme="1"/>
        <rFont val="Calibri"/>
        <charset val="134"/>
      </rPr>
      <t>Cell Tape_T</t>
    </r>
    <r>
      <rPr>
        <sz val="11"/>
        <color theme="1"/>
        <rFont val="宋体"/>
        <charset val="134"/>
      </rPr>
      <t>材质</t>
    </r>
  </si>
  <si>
    <t>AA_to CF Polarzer_R</t>
  </si>
  <si>
    <t>AA_to CF Polarzer_D</t>
  </si>
  <si>
    <r>
      <rPr>
        <sz val="11"/>
        <color theme="1"/>
        <rFont val="Calibri"/>
        <charset val="134"/>
      </rPr>
      <t xml:space="preserve">GP (Right Side) </t>
    </r>
    <r>
      <rPr>
        <sz val="11"/>
        <color theme="1"/>
        <rFont val="宋体"/>
        <charset val="134"/>
      </rPr>
      <t>貼覆面積</t>
    </r>
  </si>
  <si>
    <r>
      <rPr>
        <sz val="11"/>
        <color theme="1"/>
        <rFont val="Calibri"/>
        <charset val="134"/>
      </rPr>
      <t xml:space="preserve">DP (Down Side) </t>
    </r>
    <r>
      <rPr>
        <sz val="11"/>
        <color theme="1"/>
        <rFont val="宋体"/>
        <charset val="134"/>
      </rPr>
      <t>貼覆面積</t>
    </r>
  </si>
  <si>
    <r>
      <rPr>
        <sz val="11"/>
        <color theme="1"/>
        <rFont val="Calibri"/>
        <charset val="134"/>
      </rPr>
      <t>GP BM</t>
    </r>
    <r>
      <rPr>
        <sz val="11"/>
        <color theme="1"/>
        <rFont val="宋体"/>
        <charset val="134"/>
      </rPr>
      <t>挖槽→</t>
    </r>
    <r>
      <rPr>
        <sz val="11"/>
        <color theme="1"/>
        <rFont val="Calibri"/>
        <charset val="134"/>
      </rPr>
      <t>POL</t>
    </r>
  </si>
  <si>
    <r>
      <rPr>
        <sz val="11"/>
        <color theme="1"/>
        <rFont val="Calibri"/>
        <charset val="134"/>
      </rPr>
      <t xml:space="preserve">GP </t>
    </r>
    <r>
      <rPr>
        <sz val="11"/>
        <color theme="1"/>
        <rFont val="宋体"/>
        <charset val="134"/>
      </rPr>
      <t>金属走线→</t>
    </r>
    <r>
      <rPr>
        <sz val="11"/>
        <color theme="1"/>
        <rFont val="Calibri"/>
        <charset val="134"/>
      </rPr>
      <t>AA</t>
    </r>
  </si>
  <si>
    <r>
      <rPr>
        <sz val="11"/>
        <color theme="1"/>
        <rFont val="Calibri"/>
        <charset val="134"/>
      </rPr>
      <t>Cell Tape_R</t>
    </r>
    <r>
      <rPr>
        <sz val="11"/>
        <color theme="1"/>
        <rFont val="宋体"/>
        <charset val="134"/>
      </rPr>
      <t>材质</t>
    </r>
  </si>
  <si>
    <r>
      <rPr>
        <sz val="11"/>
        <color theme="1"/>
        <rFont val="Calibri"/>
        <charset val="134"/>
      </rPr>
      <t>Cell Tape_D</t>
    </r>
    <r>
      <rPr>
        <sz val="11"/>
        <color theme="1"/>
        <rFont val="宋体"/>
        <charset val="134"/>
      </rPr>
      <t>材质</t>
    </r>
  </si>
  <si>
    <t>NB 资源池</t>
  </si>
  <si>
    <t>POL~CF glass贴附宽度</t>
  </si>
  <si>
    <t>材料类型</t>
  </si>
  <si>
    <t>优先顺序</t>
  </si>
  <si>
    <t>厚度(um)</t>
  </si>
  <si>
    <t>品牌</t>
  </si>
  <si>
    <t>全序列</t>
  </si>
  <si>
    <r>
      <rPr>
        <sz val="10"/>
        <rFont val="宋体"/>
        <charset val="134"/>
      </rPr>
      <t>＜</t>
    </r>
    <r>
      <rPr>
        <sz val="10"/>
        <rFont val="Calibri"/>
        <charset val="134"/>
      </rPr>
      <t>0.8mm</t>
    </r>
  </si>
  <si>
    <r>
      <rPr>
        <sz val="10"/>
        <color theme="1"/>
        <rFont val="微软雅黑"/>
        <charset val="134"/>
      </rPr>
      <t>双铝</t>
    </r>
    <r>
      <rPr>
        <sz val="10"/>
        <color theme="1"/>
        <rFont val="Calibri"/>
        <charset val="134"/>
      </rPr>
      <t> </t>
    </r>
  </si>
  <si>
    <t>ALB 7910C</t>
  </si>
  <si>
    <t>迪睿合</t>
  </si>
  <si>
    <t>绝缘双铝</t>
  </si>
  <si>
    <t>HQ021S-60ALJ</t>
  </si>
  <si>
    <t>弘擎</t>
  </si>
  <si>
    <t>单层铜箔</t>
  </si>
  <si>
    <t>ETC 1005</t>
  </si>
  <si>
    <t>伊诺尔 （ENOEL）</t>
  </si>
  <si>
    <t>双铝部分替代品</t>
  </si>
  <si>
    <r>
      <rPr>
        <sz val="10"/>
        <rFont val="宋体"/>
        <charset val="134"/>
      </rPr>
      <t>≥</t>
    </r>
    <r>
      <rPr>
        <sz val="10"/>
        <rFont val="Calibri"/>
        <charset val="134"/>
      </rPr>
      <t>0.8mm</t>
    </r>
    <r>
      <rPr>
        <sz val="10"/>
        <rFont val="宋体"/>
        <charset val="134"/>
      </rPr>
      <t>，</t>
    </r>
    <r>
      <rPr>
        <sz val="10"/>
        <rFont val="Calibri"/>
        <charset val="134"/>
      </rPr>
      <t>LCM Border</t>
    </r>
    <r>
      <rPr>
        <sz val="10"/>
        <rFont val="宋体"/>
        <charset val="134"/>
      </rPr>
      <t>宽度≥</t>
    </r>
    <r>
      <rPr>
        <sz val="10"/>
        <rFont val="Calibri"/>
        <charset val="134"/>
      </rPr>
      <t>3.25</t>
    </r>
  </si>
  <si>
    <r>
      <rPr>
        <sz val="10"/>
        <color theme="1"/>
        <rFont val="微软雅黑"/>
        <charset val="134"/>
      </rPr>
      <t>单铝（窄边框56）</t>
    </r>
    <r>
      <rPr>
        <sz val="10"/>
        <color theme="1"/>
        <rFont val="Calibri"/>
        <charset val="134"/>
      </rPr>
      <t> </t>
    </r>
  </si>
  <si>
    <t>HQ021B-56</t>
  </si>
  <si>
    <r>
      <rPr>
        <sz val="10"/>
        <rFont val="宋体"/>
        <charset val="134"/>
      </rPr>
      <t>≥</t>
    </r>
    <r>
      <rPr>
        <sz val="10"/>
        <rFont val="Calibri"/>
        <charset val="134"/>
      </rPr>
      <t>0.8mm</t>
    </r>
    <r>
      <rPr>
        <sz val="10"/>
        <rFont val="宋体"/>
        <charset val="134"/>
      </rPr>
      <t>，</t>
    </r>
    <r>
      <rPr>
        <sz val="10"/>
        <rFont val="Calibri"/>
        <charset val="134"/>
      </rPr>
      <t>LCM Border</t>
    </r>
    <r>
      <rPr>
        <sz val="10"/>
        <rFont val="宋体"/>
        <charset val="134"/>
      </rPr>
      <t>宽度＜</t>
    </r>
    <r>
      <rPr>
        <sz val="10"/>
        <rFont val="Calibri"/>
        <charset val="134"/>
      </rPr>
      <t>3.25</t>
    </r>
  </si>
  <si>
    <r>
      <rPr>
        <sz val="10"/>
        <color theme="1"/>
        <rFont val="微软雅黑"/>
        <charset val="134"/>
      </rPr>
      <t>单铝（窄边框56X）</t>
    </r>
    <r>
      <rPr>
        <sz val="10"/>
        <color theme="1"/>
        <rFont val="Calibri"/>
        <charset val="134"/>
      </rPr>
      <t> </t>
    </r>
  </si>
  <si>
    <t>HQ021B-56X</t>
  </si>
  <si>
    <r>
      <rPr>
        <sz val="10"/>
        <color theme="1"/>
        <rFont val="微软雅黑"/>
        <charset val="134"/>
      </rPr>
      <t>单铝（</t>
    </r>
    <r>
      <rPr>
        <sz val="10"/>
        <color theme="1"/>
        <rFont val="Calibri"/>
        <charset val="134"/>
      </rPr>
      <t>Normal</t>
    </r>
    <r>
      <rPr>
        <sz val="10"/>
        <color theme="1"/>
        <rFont val="微软雅黑"/>
        <charset val="134"/>
      </rPr>
      <t>框）</t>
    </r>
    <r>
      <rPr>
        <sz val="10"/>
        <color theme="1"/>
        <rFont val="Calibri"/>
        <charset val="134"/>
      </rPr>
      <t> </t>
    </r>
  </si>
  <si>
    <t>HQ021-60L</t>
  </si>
  <si>
    <t>绝缘单铝</t>
  </si>
  <si>
    <t>HQ021J-58</t>
  </si>
  <si>
    <t>吸波材资源池</t>
  </si>
  <si>
    <r>
      <rPr>
        <b/>
        <sz val="10"/>
        <rFont val="微软雅黑"/>
        <charset val="134"/>
      </rPr>
      <t>机种（</t>
    </r>
    <r>
      <rPr>
        <b/>
        <sz val="10"/>
        <rFont val="Calibri"/>
        <charset val="134"/>
      </rPr>
      <t>NB)</t>
    </r>
  </si>
  <si>
    <t>资源池状态</t>
  </si>
  <si>
    <t>NB</t>
  </si>
  <si>
    <r>
      <rPr>
        <sz val="10"/>
        <color theme="1"/>
        <rFont val="微软雅黑"/>
        <charset val="134"/>
      </rPr>
      <t>磁导率</t>
    </r>
    <r>
      <rPr>
        <sz val="10"/>
        <color theme="1"/>
        <rFont val="Calibri"/>
        <charset val="134"/>
      </rPr>
      <t>120</t>
    </r>
  </si>
  <si>
    <t>原邦</t>
  </si>
  <si>
    <t>EMAS-12BNA03-A015</t>
  </si>
  <si>
    <t>量产</t>
  </si>
  <si>
    <t>睿穗</t>
  </si>
  <si>
    <t>MA120-03</t>
  </si>
  <si>
    <t>验证通过</t>
  </si>
  <si>
    <r>
      <rPr>
        <sz val="10"/>
        <color theme="1"/>
        <rFont val="微软雅黑"/>
        <charset val="134"/>
      </rPr>
      <t>磁导率</t>
    </r>
    <r>
      <rPr>
        <sz val="10"/>
        <color theme="1"/>
        <rFont val="Calibri"/>
        <charset val="134"/>
      </rPr>
      <t>180</t>
    </r>
  </si>
  <si>
    <t>EMAS-18BN03-A015</t>
  </si>
  <si>
    <t>MA180-03</t>
  </si>
  <si>
    <t>铜箔</t>
  </si>
  <si>
    <t>厚度
（μm）</t>
  </si>
  <si>
    <t>粘着力</t>
  </si>
  <si>
    <t>保持力</t>
  </si>
  <si>
    <t>电阻抗</t>
  </si>
  <si>
    <t>屏蔽效能
(dB)</t>
  </si>
  <si>
    <t>热导率
(W/mk)</t>
  </si>
  <si>
    <t>备注</t>
  </si>
  <si>
    <t>已在NB量产项目中应用或验证通过</t>
  </si>
  <si>
    <t>粘着力（gf/25mm）</t>
  </si>
  <si>
    <t>测试方法</t>
  </si>
  <si>
    <t>XPHOMB3-3535（铜箔）</t>
  </si>
  <si>
    <t>汉品</t>
  </si>
  <si>
    <t>＞1000</t>
  </si>
  <si>
    <t>＞24H</t>
  </si>
  <si>
    <t>≤0.05Ω/inch2</t>
  </si>
  <si>
    <t>＞90</t>
  </si>
  <si>
    <t>NV140XTM-N52-3RA0(朱成兵)
NV126B5M-N41-D940(朱成兵)
NV161FHM-N61-3RA0(朱成兵)
NV161FHM-NY1-3940(朱成兵)</t>
  </si>
  <si>
    <t>已量产
已量产
已量产
已量产</t>
  </si>
  <si>
    <t>XPH0A03-N1835（铜箔）</t>
  </si>
  <si>
    <t>＞1200</t>
  </si>
  <si>
    <t>≤0.06Ω/inch2</t>
  </si>
  <si>
    <t>XPH1M253（铝箔）</t>
  </si>
  <si>
    <t xml:space="preserve">NT140WHM-N46-8D30       NT140WHM-N46-DD32                      (张竹青 以上)                 </t>
  </si>
  <si>
    <t>已量产                      EN阶段</t>
  </si>
  <si>
    <t>XPH0A03-3535（铜箔）</t>
  </si>
  <si>
    <t>NE156QUM-NZ3-3940(朱孝菲)</t>
  </si>
  <si>
    <t xml:space="preserve">已量产 </t>
  </si>
  <si>
    <t>XPH0A07-5018(铜箔)</t>
  </si>
  <si>
    <t>NV126B5M-N41-D940(朱成兵)，Bent机种PCB散热用；</t>
  </si>
  <si>
    <t xml:space="preserve"> XPHV0503-100D(铜箔,胶不导电)</t>
  </si>
  <si>
    <t>&gt;10e12</t>
  </si>
  <si>
    <t>NE156QUM-N64-5850(朱成兵)，Bent机种PCB散热用；</t>
  </si>
  <si>
    <t>已量产</t>
  </si>
  <si>
    <t>HQ022R-50</t>
  </si>
  <si>
    <t>NV133FHM-T01-D940</t>
  </si>
  <si>
    <t>5月量产</t>
  </si>
  <si>
    <t>导电布</t>
  </si>
  <si>
    <t>使用温度
（℃）</t>
  </si>
  <si>
    <t>XPHF1R03-030</t>
  </si>
  <si>
    <t>灰色</t>
  </si>
  <si>
    <t>＞600</t>
  </si>
  <si>
    <t>＞12H</t>
  </si>
  <si>
    <t>＞60</t>
  </si>
  <si>
    <t>-10~85℃</t>
  </si>
  <si>
    <t xml:space="preserve">NV133FHM-N66-8RA1 (马贺兵)                NV140FHM-N4B-8940(耿玉旭)
NV156FHM-N65-8941(刘松)           NV156FHM-T04-8B30(刘松)  </t>
  </si>
  <si>
    <r>
      <rPr>
        <sz val="9"/>
        <color theme="1"/>
        <rFont val="微软雅黑"/>
        <charset val="134"/>
      </rPr>
      <t xml:space="preserve">已量产                                             </t>
    </r>
    <r>
      <rPr>
        <sz val="9"/>
        <rFont val="微软雅黑"/>
        <charset val="134"/>
      </rPr>
      <t>已量产
已量产                                             已量产</t>
    </r>
  </si>
  <si>
    <t xml:space="preserve"> XPHF1005-M1035Y</t>
  </si>
  <si>
    <t>NV133FHM-N33-DB30
NV133FHM-N43-DB30
NV133FHM-N33-DB31
 NV133FHM-N43-DB31
NV133FHM-N33-DB32
NV133FHM-N43-DB32
    NV133FHM-N43-DB33                   (陈建/张超杰 以上)</t>
  </si>
  <si>
    <t>XPHF1R03-050</t>
  </si>
  <si>
    <t>＞800</t>
  </si>
  <si>
    <t>NV140FHM-T0A-D940(邓勇  下侧)
NV133FHM-T0A-DB30(胡静茹)
NV133FHM-N4T-D940(胡静茹)</t>
  </si>
  <si>
    <t>验证通过，预计5月量产
5月量产
6月量产</t>
  </si>
  <si>
    <t>XPHF1003F050B</t>
  </si>
  <si>
    <t>黑色</t>
  </si>
  <si>
    <t>11.6 HD TN Dell向</t>
  </si>
  <si>
    <t>XPHF1R03-050D</t>
  </si>
  <si>
    <t>＞1300</t>
  </si>
  <si>
    <t>XPHF1R03-050E</t>
  </si>
  <si>
    <t>＞900</t>
  </si>
  <si>
    <t>≤0.03Ω/inch2</t>
  </si>
  <si>
    <t>＞70</t>
  </si>
  <si>
    <t>NV140FHM-N4T-D940(邓勇  下侧)
NV133FHM-T0A-DB30(胡静茹)</t>
  </si>
  <si>
    <t>验证通过，预计5月量产
6月量产</t>
  </si>
  <si>
    <t>XPHF1R03-M61Y</t>
  </si>
  <si>
    <t>NV140FHM-T0A-D940(邓勇  上左右侧)
NV140FHM-N4T-D940(邓勇  上左右侧)</t>
  </si>
  <si>
    <t>5月风险量产</t>
  </si>
  <si>
    <t>22CEY</t>
  </si>
  <si>
    <t>康尔乐</t>
  </si>
  <si>
    <t>&lt;0.05Ω/inch2(X-Y方向)
&lt;0.03Ω/inch2(Z方向</t>
  </si>
  <si>
    <t>B30SC</t>
  </si>
  <si>
    <t>宝优际</t>
  </si>
  <si>
    <t>＜0.05Ω/inch2</t>
  </si>
  <si>
    <t>NV140FHM-N47</t>
  </si>
  <si>
    <t xml:space="preserve"> XPHF1R14-A030</t>
  </si>
  <si>
    <t>＞1800</t>
  </si>
  <si>
    <t>≤0.1Ω/inch2</t>
  </si>
  <si>
    <t>&gt;60</t>
  </si>
  <si>
    <t>-40~85℃</t>
  </si>
  <si>
    <t>NV126B5M-N41-D940(朱成兵)，Bent机种PCB接地用；</t>
  </si>
  <si>
    <t>XPHF1R04-150</t>
  </si>
  <si>
    <t>NE156QUM-N64-5850(朱成兵)，Bent机种PCB接地用；</t>
  </si>
  <si>
    <t>姓名：</t>
  </si>
  <si>
    <t>部门/科室：</t>
  </si>
  <si>
    <t>日期：</t>
  </si>
  <si>
    <t>第一页</t>
  </si>
  <si>
    <t>基本信息</t>
  </si>
  <si>
    <t>客户技术规格</t>
  </si>
  <si>
    <t>BU邀请人（姓名）</t>
  </si>
  <si>
    <t>TM1需求</t>
  </si>
  <si>
    <t>生命周期(月)</t>
  </si>
  <si>
    <t>贴合类型</t>
  </si>
  <si>
    <t>亮度(nits)</t>
  </si>
  <si>
    <t>MDL 边框(mm)上</t>
  </si>
  <si>
    <t>BU邀请人（工号）</t>
  </si>
  <si>
    <t>Panel工厂</t>
  </si>
  <si>
    <t>企划物量（Kpcs/M）</t>
  </si>
  <si>
    <t>贴合厂</t>
  </si>
  <si>
    <t>视角(上/下/左/右)</t>
  </si>
  <si>
    <t>MDL 边框(mm)下</t>
  </si>
  <si>
    <t>创建时间</t>
  </si>
  <si>
    <t>Touch工厂</t>
  </si>
  <si>
    <t>客户端占比(%)</t>
  </si>
  <si>
    <t>尺寸</t>
  </si>
  <si>
    <t>逻辑功耗(W,Typ)</t>
  </si>
  <si>
    <t>MDL 边框(mm)左</t>
  </si>
  <si>
    <t>项目ID</t>
  </si>
  <si>
    <t>MDL工厂</t>
  </si>
  <si>
    <t>竞争社信息</t>
  </si>
  <si>
    <t>显示模式</t>
  </si>
  <si>
    <t>逻辑功耗(W,MAX)</t>
  </si>
  <si>
    <t>MDL 边框(mm)右</t>
  </si>
  <si>
    <t>项目名称</t>
  </si>
  <si>
    <t>开发背景</t>
  </si>
  <si>
    <t>是否需要图纸</t>
  </si>
  <si>
    <t>分辨率</t>
  </si>
  <si>
    <t>BLU功耗(W,Typ)</t>
  </si>
  <si>
    <t>MDL重量max(g,Typ)</t>
  </si>
  <si>
    <t>项目名称补充</t>
  </si>
  <si>
    <t>技术亮点</t>
  </si>
  <si>
    <t>首样时间</t>
  </si>
  <si>
    <t>BLU功耗(W,MAX)</t>
  </si>
  <si>
    <t>MDL重量max(g,Max)</t>
  </si>
  <si>
    <t>关联需求ID</t>
  </si>
  <si>
    <t>客户</t>
  </si>
  <si>
    <t>计划量产时间</t>
  </si>
  <si>
    <t>工艺</t>
  </si>
  <si>
    <t>接口</t>
  </si>
  <si>
    <t>模组厚度(mm,Typ) w/o PCB</t>
  </si>
  <si>
    <t>关联原因</t>
  </si>
  <si>
    <t>客户项目名</t>
  </si>
  <si>
    <t>RFQ计划完成时间</t>
  </si>
  <si>
    <t xml:space="preserve">有效显示区域AA区(mm) (X) </t>
  </si>
  <si>
    <t>Tr+Tf响应时间(ms)</t>
  </si>
  <si>
    <t>模组厚度(mm,Max) w/o PCB</t>
  </si>
  <si>
    <t>来源线索</t>
  </si>
  <si>
    <t>客户终端系列</t>
  </si>
  <si>
    <t>出货模式</t>
  </si>
  <si>
    <t xml:space="preserve">有效显示区域AA区(mm) (Y) </t>
  </si>
  <si>
    <t>GTG响应时间(ms)</t>
  </si>
  <si>
    <t>模组厚度(mm,Typ) w PCB</t>
  </si>
  <si>
    <t>BU</t>
  </si>
  <si>
    <t>供应类型</t>
  </si>
  <si>
    <t>是否有量产Panel平台可共用</t>
  </si>
  <si>
    <t>Mask是否新开</t>
  </si>
  <si>
    <t>色彩深度(bit)</t>
  </si>
  <si>
    <t>模组厚度(mm,Max) w PCB</t>
  </si>
  <si>
    <t>SBU</t>
  </si>
  <si>
    <t>目标客户环保&amp;安规要求明细</t>
  </si>
  <si>
    <t>参考产品FG Code</t>
  </si>
  <si>
    <t>HDR</t>
  </si>
  <si>
    <t>Touch方案</t>
  </si>
  <si>
    <t>PCB形态</t>
  </si>
  <si>
    <t>应用别</t>
  </si>
  <si>
    <t>客户特殊品质要求</t>
  </si>
  <si>
    <t>产品变更点</t>
  </si>
  <si>
    <t>表面处理</t>
  </si>
  <si>
    <t>主动笔</t>
  </si>
  <si>
    <t>共用panel名称</t>
  </si>
  <si>
    <t>开发等级</t>
  </si>
  <si>
    <t>商务类型</t>
  </si>
  <si>
    <t>对比度(Typ)</t>
  </si>
  <si>
    <t>产品特殊要求</t>
  </si>
  <si>
    <t>对比度(Min)</t>
  </si>
  <si>
    <t>刷新频率</t>
  </si>
  <si>
    <t>变更履历</t>
  </si>
  <si>
    <t>时间</t>
  </si>
  <si>
    <t>版本号</t>
  </si>
  <si>
    <t>变更前</t>
  </si>
  <si>
    <t>变更后</t>
  </si>
  <si>
    <t>变更原因</t>
  </si>
  <si>
    <t>B</t>
  </si>
  <si>
    <t>1. 亮度：350
2. 功耗
3. 尺寸
…..</t>
  </si>
  <si>
    <t>1. 亮度:400
2. 功耗
3. 尺寸
…..</t>
  </si>
  <si>
    <t>考虑CG影响</t>
  </si>
  <si>
    <t>C</t>
  </si>
  <si>
    <t>开发各检讨担当请登录开发Quest系统协同检讨，完成后，主担当将设计方案提交到一站式，反馈BU</t>
  </si>
  <si>
    <t>要求：所有NB项目需通过线上Quest系统进行反馈，不再接收线下反馈
如有疑问请联系Quest系统负责人：朱孝菲 13167735982</t>
  </si>
  <si>
    <t>Quest系统登录网址：Quest.boe.com.cn</t>
  </si>
  <si>
    <t>第二页</t>
  </si>
  <si>
    <r>
      <rPr>
        <sz val="15"/>
        <color theme="1"/>
        <rFont val="微软雅黑"/>
        <charset val="134"/>
      </rPr>
      <t xml:space="preserve">  1、</t>
    </r>
    <r>
      <rPr>
        <sz val="15"/>
        <color rgb="FF000000"/>
        <rFont val="微软雅黑"/>
        <charset val="134"/>
      </rPr>
      <t>Product Spec Review</t>
    </r>
  </si>
  <si>
    <t xml:space="preserve">  2、Mechanical Review </t>
  </si>
  <si>
    <t xml:space="preserve">  3、Optical Review</t>
  </si>
  <si>
    <t xml:space="preserve">  4、BOM List</t>
  </si>
  <si>
    <t xml:space="preserve">  5、Cost &amp; Schedule</t>
  </si>
  <si>
    <t xml:space="preserve">  6、DFMEA</t>
  </si>
  <si>
    <t xml:space="preserve">  7、Design Checklist Result</t>
  </si>
  <si>
    <t>第三页</t>
  </si>
  <si>
    <t xml:space="preserve">Item  </t>
  </si>
  <si>
    <t>客户RFQ</t>
  </si>
  <si>
    <t xml:space="preserve">Remark </t>
  </si>
  <si>
    <t>Mech.</t>
  </si>
  <si>
    <t>Outline Dimension
[mm]</t>
  </si>
  <si>
    <t>←</t>
  </si>
  <si>
    <t>MDL Thickness
[mm]</t>
  </si>
  <si>
    <t>Active Area
[mm]</t>
  </si>
  <si>
    <t>Weight[g]</t>
  </si>
  <si>
    <t>MDL Brightness[nit]</t>
  </si>
  <si>
    <t>Uniformity</t>
  </si>
  <si>
    <t>CCT(K)</t>
  </si>
  <si>
    <t xml:space="preserve">Power </t>
  </si>
  <si>
    <t>Backlight Power (W)</t>
  </si>
  <si>
    <t>第四页</t>
  </si>
  <si>
    <t>第五页</t>
  </si>
  <si>
    <t>第六页</t>
  </si>
  <si>
    <t>Item</t>
  </si>
  <si>
    <t>参考机种</t>
  </si>
  <si>
    <t xml:space="preserve">TOP POL </t>
  </si>
  <si>
    <t xml:space="preserve">CF Glass </t>
  </si>
  <si>
    <t xml:space="preserve">TFT Glass </t>
  </si>
  <si>
    <t xml:space="preserve">Bottom POL </t>
  </si>
  <si>
    <t xml:space="preserve"> Air Gap </t>
  </si>
  <si>
    <t xml:space="preserve">Up Diffuser </t>
  </si>
  <si>
    <t xml:space="preserve">Prism-U </t>
  </si>
  <si>
    <t xml:space="preserve">Prism-D </t>
  </si>
  <si>
    <t xml:space="preserve">Down Diffuser </t>
  </si>
  <si>
    <t xml:space="preserve">LGP </t>
  </si>
  <si>
    <t xml:space="preserve">Reflector </t>
  </si>
  <si>
    <t>L/B-Reflector tape</t>
  </si>
  <si>
    <t>LCM Label</t>
  </si>
  <si>
    <t xml:space="preserve">Total Thickness  </t>
  </si>
  <si>
    <t>第七页</t>
  </si>
  <si>
    <t>NO.</t>
  </si>
  <si>
    <t>LCM(Body)</t>
  </si>
  <si>
    <r>
      <rPr>
        <sz val="8"/>
        <color rgb="FF000000"/>
        <rFont val="Arial"/>
        <charset val="134"/>
      </rPr>
      <t>BLU</t>
    </r>
    <r>
      <rPr>
        <sz val="8"/>
        <color rgb="FF000000"/>
        <rFont val="Arial Unicode MS"/>
        <charset val="134"/>
      </rPr>
      <t>导电</t>
    </r>
    <r>
      <rPr>
        <sz val="8"/>
        <color rgb="FF000000"/>
        <rFont val="Arial"/>
        <charset val="134"/>
      </rPr>
      <t>Tape</t>
    </r>
  </si>
  <si>
    <t>元器件</t>
  </si>
  <si>
    <t xml:space="preserve">MDL  Total </t>
  </si>
  <si>
    <t>第八页</t>
  </si>
  <si>
    <t>A/A</t>
  </si>
  <si>
    <t>Panel Size</t>
  </si>
  <si>
    <t>LCM Size</t>
  </si>
  <si>
    <t xml:space="preserve">BM </t>
  </si>
  <si>
    <t xml:space="preserve">Left </t>
  </si>
  <si>
    <t xml:space="preserve">Right </t>
  </si>
  <si>
    <t xml:space="preserve">Up </t>
  </si>
  <si>
    <t xml:space="preserve">Down </t>
  </si>
  <si>
    <t xml:space="preserve">A </t>
  </si>
  <si>
    <t>Panel BM</t>
  </si>
  <si>
    <r>
      <rPr>
        <b/>
        <sz val="8"/>
        <color rgb="FF000000"/>
        <rFont val="Arial"/>
        <charset val="134"/>
      </rPr>
      <t>BLU</t>
    </r>
    <r>
      <rPr>
        <b/>
        <sz val="8"/>
        <color rgb="FF000000"/>
        <rFont val="微软雅黑"/>
        <charset val="134"/>
      </rPr>
      <t>　</t>
    </r>
  </si>
  <si>
    <t xml:space="preserve">B </t>
  </si>
  <si>
    <t xml:space="preserve">Gap (Glass ~ Mold) </t>
  </si>
  <si>
    <t xml:space="preserve">C </t>
  </si>
  <si>
    <t xml:space="preserve">Mold Frame Thickness </t>
  </si>
  <si>
    <t xml:space="preserve">D </t>
  </si>
  <si>
    <t xml:space="preserve">Gap (Mold~ Back Cover) </t>
  </si>
  <si>
    <t xml:space="preserve">E </t>
  </si>
  <si>
    <t xml:space="preserve">Back Cover Thickness </t>
  </si>
  <si>
    <t>F</t>
  </si>
  <si>
    <r>
      <rPr>
        <b/>
        <sz val="8"/>
        <color rgb="FF000000"/>
        <rFont val="Arial"/>
        <charset val="134"/>
      </rPr>
      <t>Cell Tape</t>
    </r>
    <r>
      <rPr>
        <b/>
        <sz val="8"/>
        <color rgb="FF000000"/>
        <rFont val="微软雅黑"/>
        <charset val="134"/>
      </rPr>
      <t>　</t>
    </r>
  </si>
  <si>
    <t>G</t>
  </si>
  <si>
    <t>MDL Border</t>
  </si>
  <si>
    <t>第九页</t>
  </si>
  <si>
    <r>
      <rPr>
        <sz val="9"/>
        <color rgb="FF000000"/>
        <rFont val="Calibri"/>
        <charset val="134"/>
      </rPr>
      <t xml:space="preserve">Cell Tape </t>
    </r>
    <r>
      <rPr>
        <sz val="9"/>
        <color rgb="FF000000"/>
        <rFont val="宋体"/>
        <charset val="134"/>
      </rPr>
      <t>貼覆面積</t>
    </r>
    <r>
      <rPr>
        <sz val="9"/>
        <color rgb="FF000000"/>
        <rFont val="Calibri"/>
        <charset val="134"/>
      </rPr>
      <t>_X Direction</t>
    </r>
  </si>
  <si>
    <r>
      <rPr>
        <sz val="9"/>
        <color rgb="FF000000"/>
        <rFont val="Calibri"/>
        <charset val="134"/>
      </rPr>
      <t xml:space="preserve">Cell Tape </t>
    </r>
    <r>
      <rPr>
        <sz val="9"/>
        <color rgb="FF000000"/>
        <rFont val="宋体"/>
        <charset val="134"/>
      </rPr>
      <t>貼覆面積</t>
    </r>
    <r>
      <rPr>
        <sz val="9"/>
        <color rgb="FF000000"/>
        <rFont val="Calibri"/>
        <charset val="134"/>
      </rPr>
      <t>_Y Direction</t>
    </r>
  </si>
  <si>
    <r>
      <rPr>
        <sz val="9"/>
        <color rgb="FF000000"/>
        <rFont val="微软雅黑"/>
        <charset val="134"/>
      </rPr>
      <t>建議</t>
    </r>
    <r>
      <rPr>
        <sz val="9"/>
        <color rgb="FF000000"/>
        <rFont val="Calibri"/>
        <charset val="134"/>
      </rPr>
      <t>Min=1.0</t>
    </r>
  </si>
  <si>
    <r>
      <rPr>
        <sz val="9"/>
        <color rgb="FF000000"/>
        <rFont val="宋体"/>
        <charset val="134"/>
      </rPr>
      <t>建議</t>
    </r>
    <r>
      <rPr>
        <sz val="9"/>
        <color rgb="FF000000"/>
        <rFont val="Calibri"/>
        <charset val="134"/>
      </rPr>
      <t>Min=1.0</t>
    </r>
  </si>
  <si>
    <r>
      <rPr>
        <sz val="9"/>
        <color rgb="FF000000"/>
        <rFont val="Calibri"/>
        <charset val="134"/>
      </rPr>
      <t xml:space="preserve">GPO (Left Side) </t>
    </r>
    <r>
      <rPr>
        <sz val="9"/>
        <color rgb="FF000000"/>
        <rFont val="宋体"/>
        <charset val="134"/>
      </rPr>
      <t>貼覆面積</t>
    </r>
  </si>
  <si>
    <r>
      <rPr>
        <sz val="9"/>
        <color rgb="FF000000"/>
        <rFont val="Calibri"/>
        <charset val="134"/>
      </rPr>
      <t xml:space="preserve">DPO (Top Side) </t>
    </r>
    <r>
      <rPr>
        <sz val="9"/>
        <color rgb="FF000000"/>
        <rFont val="宋体"/>
        <charset val="134"/>
      </rPr>
      <t>貼覆面積</t>
    </r>
  </si>
  <si>
    <r>
      <rPr>
        <sz val="9"/>
        <color rgb="FF000000"/>
        <rFont val="Calibri"/>
        <charset val="134"/>
      </rPr>
      <t>GPO BM</t>
    </r>
    <r>
      <rPr>
        <sz val="9"/>
        <color rgb="FF000000"/>
        <rFont val="宋体"/>
        <charset val="134"/>
      </rPr>
      <t>挖槽→</t>
    </r>
    <r>
      <rPr>
        <sz val="9"/>
        <color rgb="FF000000"/>
        <rFont val="Calibri"/>
        <charset val="134"/>
      </rPr>
      <t>POL</t>
    </r>
  </si>
  <si>
    <r>
      <rPr>
        <sz val="9"/>
        <color rgb="FF000000"/>
        <rFont val="Calibri"/>
        <charset val="134"/>
      </rPr>
      <t>DP BM</t>
    </r>
    <r>
      <rPr>
        <sz val="9"/>
        <color rgb="FF000000"/>
        <rFont val="宋体"/>
        <charset val="134"/>
      </rPr>
      <t>挖槽→</t>
    </r>
    <r>
      <rPr>
        <sz val="9"/>
        <color rgb="FF000000"/>
        <rFont val="Calibri"/>
        <charset val="134"/>
      </rPr>
      <t>POL</t>
    </r>
  </si>
  <si>
    <r>
      <rPr>
        <sz val="9"/>
        <color rgb="FF000000"/>
        <rFont val="Calibri"/>
        <charset val="134"/>
      </rPr>
      <t xml:space="preserve">GPO </t>
    </r>
    <r>
      <rPr>
        <sz val="9"/>
        <color rgb="FF000000"/>
        <rFont val="宋体"/>
        <charset val="134"/>
      </rPr>
      <t>金属走线→</t>
    </r>
    <r>
      <rPr>
        <sz val="9"/>
        <color rgb="FF000000"/>
        <rFont val="Calibri"/>
        <charset val="134"/>
      </rPr>
      <t>AA</t>
    </r>
  </si>
  <si>
    <r>
      <rPr>
        <sz val="9"/>
        <color rgb="FF000000"/>
        <rFont val="Calibri"/>
        <charset val="134"/>
      </rPr>
      <t xml:space="preserve">DP </t>
    </r>
    <r>
      <rPr>
        <sz val="9"/>
        <color rgb="FF000000"/>
        <rFont val="宋体"/>
        <charset val="134"/>
      </rPr>
      <t>金属走线→</t>
    </r>
    <r>
      <rPr>
        <sz val="9"/>
        <color rgb="FF000000"/>
        <rFont val="Calibri"/>
        <charset val="134"/>
      </rPr>
      <t>AA</t>
    </r>
  </si>
  <si>
    <r>
      <rPr>
        <sz val="9"/>
        <color rgb="FF000000"/>
        <rFont val="Calibri"/>
        <charset val="134"/>
      </rPr>
      <t>Cell Tape_L</t>
    </r>
    <r>
      <rPr>
        <sz val="9"/>
        <color rgb="FF000000"/>
        <rFont val="宋体"/>
        <charset val="134"/>
      </rPr>
      <t>材质</t>
    </r>
  </si>
  <si>
    <r>
      <rPr>
        <sz val="9"/>
        <color rgb="FF000000"/>
        <rFont val="Calibri"/>
        <charset val="134"/>
      </rPr>
      <t>Cell Tape_T</t>
    </r>
    <r>
      <rPr>
        <sz val="9"/>
        <color rgb="FF000000"/>
        <rFont val="宋体"/>
        <charset val="134"/>
      </rPr>
      <t>材质</t>
    </r>
  </si>
  <si>
    <r>
      <rPr>
        <sz val="9"/>
        <color rgb="FF000000"/>
        <rFont val="Calibri"/>
        <charset val="134"/>
      </rPr>
      <t xml:space="preserve">GP (Right Side) </t>
    </r>
    <r>
      <rPr>
        <sz val="9"/>
        <color rgb="FF000000"/>
        <rFont val="宋体"/>
        <charset val="134"/>
      </rPr>
      <t>貼覆面積</t>
    </r>
  </si>
  <si>
    <r>
      <rPr>
        <sz val="9"/>
        <color rgb="FF000000"/>
        <rFont val="Calibri"/>
        <charset val="134"/>
      </rPr>
      <t xml:space="preserve">DP (Down Side) </t>
    </r>
    <r>
      <rPr>
        <sz val="9"/>
        <color rgb="FF000000"/>
        <rFont val="宋体"/>
        <charset val="134"/>
      </rPr>
      <t>貼覆面積</t>
    </r>
  </si>
  <si>
    <r>
      <rPr>
        <sz val="9"/>
        <color rgb="FF000000"/>
        <rFont val="Calibri"/>
        <charset val="134"/>
      </rPr>
      <t>GP BM</t>
    </r>
    <r>
      <rPr>
        <sz val="9"/>
        <color rgb="FF000000"/>
        <rFont val="宋体"/>
        <charset val="134"/>
      </rPr>
      <t>挖槽→</t>
    </r>
    <r>
      <rPr>
        <sz val="9"/>
        <color rgb="FF000000"/>
        <rFont val="Calibri"/>
        <charset val="134"/>
      </rPr>
      <t>POL</t>
    </r>
  </si>
  <si>
    <r>
      <rPr>
        <sz val="9"/>
        <color rgb="FF000000"/>
        <rFont val="Calibri"/>
        <charset val="134"/>
      </rPr>
      <t xml:space="preserve">GP </t>
    </r>
    <r>
      <rPr>
        <sz val="9"/>
        <color rgb="FF000000"/>
        <rFont val="宋体"/>
        <charset val="134"/>
      </rPr>
      <t>金属走线→</t>
    </r>
    <r>
      <rPr>
        <sz val="9"/>
        <color rgb="FF000000"/>
        <rFont val="Calibri"/>
        <charset val="134"/>
      </rPr>
      <t>AA</t>
    </r>
  </si>
  <si>
    <r>
      <rPr>
        <sz val="9"/>
        <color rgb="FF000000"/>
        <rFont val="Calibri"/>
        <charset val="134"/>
      </rPr>
      <t>Cell Tape_R</t>
    </r>
    <r>
      <rPr>
        <sz val="9"/>
        <color rgb="FF000000"/>
        <rFont val="宋体"/>
        <charset val="134"/>
      </rPr>
      <t>材质</t>
    </r>
  </si>
  <si>
    <r>
      <rPr>
        <sz val="9"/>
        <color rgb="FF000000"/>
        <rFont val="Calibri"/>
        <charset val="134"/>
      </rPr>
      <t>Cell Tape_D</t>
    </r>
    <r>
      <rPr>
        <sz val="9"/>
        <color rgb="FF000000"/>
        <rFont val="宋体"/>
        <charset val="134"/>
      </rPr>
      <t>材质</t>
    </r>
  </si>
  <si>
    <t>第十页</t>
  </si>
  <si>
    <t>计算值</t>
  </si>
  <si>
    <t>满足客户要求</t>
  </si>
  <si>
    <t xml:space="preserve">Item </t>
  </si>
  <si>
    <t xml:space="preserve">Material </t>
  </si>
  <si>
    <t>Thickness(mm)</t>
  </si>
  <si>
    <t>Weight(g)</t>
  </si>
  <si>
    <t xml:space="preserve">BLU </t>
  </si>
  <si>
    <t xml:space="preserve">Back Cover </t>
  </si>
  <si>
    <t xml:space="preserve">Optical Sheets </t>
  </si>
  <si>
    <t xml:space="preserve">PET </t>
  </si>
  <si>
    <t xml:space="preserve">Prism  Up </t>
  </si>
  <si>
    <t xml:space="preserve">Prism Down </t>
  </si>
  <si>
    <t xml:space="preserve">Diffuser Down </t>
  </si>
  <si>
    <t xml:space="preserve">RS </t>
  </si>
  <si>
    <t>PMMA</t>
  </si>
  <si>
    <t xml:space="preserve">Mold Frame </t>
  </si>
  <si>
    <t xml:space="preserve">LED Array </t>
  </si>
  <si>
    <t xml:space="preserve">- </t>
  </si>
  <si>
    <t xml:space="preserve">O/C </t>
  </si>
  <si>
    <t xml:space="preserve">Panel  </t>
  </si>
  <si>
    <t xml:space="preserve">CF Pol </t>
  </si>
  <si>
    <t>TFT Pol</t>
  </si>
  <si>
    <t xml:space="preserve">PCBA </t>
  </si>
  <si>
    <t xml:space="preserve">FPC </t>
  </si>
  <si>
    <t xml:space="preserve">Cell Tape </t>
  </si>
  <si>
    <t xml:space="preserve">Others </t>
  </si>
  <si>
    <t xml:space="preserve">LCM  Total </t>
  </si>
  <si>
    <t>SPEC.</t>
  </si>
  <si>
    <t>第十一页</t>
  </si>
  <si>
    <t xml:space="preserve">Transmittance  </t>
  </si>
  <si>
    <t>PKG Size</t>
  </si>
  <si>
    <t>Q’ty( ea)</t>
  </si>
  <si>
    <t>VF/Current</t>
  </si>
  <si>
    <t xml:space="preserve">Intensity (Lm) </t>
  </si>
  <si>
    <t>APF POL</t>
  </si>
  <si>
    <t>Up Diffuser</t>
  </si>
  <si>
    <t>Up  Prism</t>
  </si>
  <si>
    <t xml:space="preserve">Reflector Sheet </t>
  </si>
  <si>
    <t>Area Gain</t>
  </si>
  <si>
    <t>LED Gain</t>
  </si>
  <si>
    <t>Film Gain</t>
  </si>
  <si>
    <t>透过率增益</t>
  </si>
  <si>
    <t>total</t>
  </si>
  <si>
    <t>BLU功耗（w）</t>
  </si>
  <si>
    <t>MDL亮度（nit）</t>
  </si>
  <si>
    <t>第十二页</t>
  </si>
  <si>
    <t>LED Package</t>
  </si>
  <si>
    <t xml:space="preserve">LED Quantity  </t>
  </si>
  <si>
    <r>
      <rPr>
        <b/>
        <sz val="8"/>
        <color rgb="FF000000"/>
        <rFont val="Arial"/>
        <charset val="134"/>
      </rPr>
      <t>TVS</t>
    </r>
    <r>
      <rPr>
        <b/>
        <sz val="8"/>
        <color rgb="FF000000"/>
        <rFont val="微软雅黑"/>
        <charset val="134"/>
      </rPr>
      <t>放置方式</t>
    </r>
  </si>
  <si>
    <t xml:space="preserve">P (mm) </t>
  </si>
  <si>
    <t>A (mm)</t>
  </si>
  <si>
    <t>Key Value : A/P</t>
  </si>
  <si>
    <t xml:space="preserve">Judgment </t>
  </si>
  <si>
    <t>第十三页</t>
  </si>
  <si>
    <t>A社 15.6FHD 120Hz</t>
  </si>
  <si>
    <t>Silicate</t>
  </si>
  <si>
    <t>Chroma</t>
  </si>
  <si>
    <t>Rx</t>
  </si>
  <si>
    <t>Ry</t>
  </si>
  <si>
    <t>Gx</t>
  </si>
  <si>
    <t>Gy</t>
  </si>
  <si>
    <t>Bx</t>
  </si>
  <si>
    <t>By</t>
  </si>
  <si>
    <t>WY</t>
  </si>
  <si>
    <t>Gamut(NTSC)</t>
  </si>
  <si>
    <t>第十四页</t>
  </si>
  <si>
    <t xml:space="preserve">Location </t>
  </si>
  <si>
    <t>VF/Current（v）</t>
  </si>
  <si>
    <t xml:space="preserve">Cell  Tape </t>
  </si>
  <si>
    <t>Screw</t>
  </si>
  <si>
    <t>FGCODE</t>
  </si>
  <si>
    <t>NV140FHM-N66-8RA1（Base机种）</t>
  </si>
  <si>
    <t>NE160QDM-NY1-8943</t>
  </si>
  <si>
    <t>检讨机种信息</t>
  </si>
  <si>
    <t>设计</t>
  </si>
  <si>
    <t>实测增益</t>
  </si>
  <si>
    <t>项目信息</t>
  </si>
  <si>
    <t>LBG</t>
  </si>
  <si>
    <t>项目状态 （EN/MP）</t>
  </si>
  <si>
    <t>MP</t>
  </si>
  <si>
    <t>冉伟</t>
  </si>
  <si>
    <t>材料增益</t>
  </si>
  <si>
    <t>产品信息</t>
  </si>
  <si>
    <t>模组厚度（设计值/规格值）</t>
  </si>
  <si>
    <t>2.25Typ/2.4max</t>
  </si>
  <si>
    <t>2.45Typ/2.6 max</t>
  </si>
  <si>
    <t>玻璃类型</t>
  </si>
  <si>
    <t>玻璃厚度</t>
  </si>
  <si>
    <t>背板厚度</t>
  </si>
  <si>
    <t>单双折</t>
  </si>
  <si>
    <t>（U/L/R侧）</t>
  </si>
  <si>
    <t>DP侧两端</t>
  </si>
  <si>
    <t>双层Glass承载宽度（D）</t>
  </si>
  <si>
    <t>是否全胶框</t>
  </si>
  <si>
    <t>0.2背板材质</t>
  </si>
  <si>
    <t>0.25背板材质</t>
  </si>
  <si>
    <t>0.3背板材质</t>
  </si>
  <si>
    <t>Panel Border (U/L/R/D) 
 (D为AA~TFT Glass距离)</t>
  </si>
  <si>
    <t>2.3/2.3/2.3/6.4</t>
  </si>
  <si>
    <t>2.0/2.1/2.1/5.8</t>
  </si>
  <si>
    <t xml:space="preserve"> 0.2t单折</t>
  </si>
  <si>
    <t>无边框</t>
  </si>
  <si>
    <t>全胶框</t>
  </si>
  <si>
    <t>模组边框（U/L/R/D）</t>
  </si>
  <si>
    <t>2.5/5.5/2.5/7.1</t>
  </si>
  <si>
    <t>2.5/2.5/2.5/6.5</t>
  </si>
  <si>
    <t>ASTRA玻璃</t>
  </si>
  <si>
    <t xml:space="preserve"> 0.2t双折</t>
  </si>
  <si>
    <t>L-Bending</t>
  </si>
  <si>
    <t>非全胶框</t>
  </si>
  <si>
    <t>玻璃</t>
  </si>
  <si>
    <t>玻璃材质 (Normal/Astra)</t>
  </si>
  <si>
    <t xml:space="preserve"> 0.25t单折</t>
  </si>
  <si>
    <t>TBD</t>
  </si>
  <si>
    <t xml:space="preserve"> 0.25t双折</t>
  </si>
  <si>
    <t>SGLC （0.2T无SGLC）</t>
  </si>
  <si>
    <t xml:space="preserve"> 0.3t单折</t>
  </si>
  <si>
    <t xml:space="preserve">SGLC </t>
  </si>
  <si>
    <t xml:space="preserve"> 0.3t双折</t>
  </si>
  <si>
    <t>BLU结构
相关</t>
  </si>
  <si>
    <t>U/L/R单双折</t>
  </si>
  <si>
    <t>（U/L/R/D）</t>
  </si>
  <si>
    <t>U/L/R侧边框</t>
  </si>
  <si>
    <t>是否L-Bending （DP侧两端）</t>
  </si>
  <si>
    <t>双层Glass承载宽度（D）(mm)</t>
  </si>
  <si>
    <t>薄弱点增益</t>
  </si>
  <si>
    <t>周边强度</t>
  </si>
  <si>
    <t>总增益</t>
  </si>
  <si>
    <t>预测薄弱点位置</t>
  </si>
  <si>
    <t>实测强度</t>
  </si>
  <si>
    <t>强度预测</t>
  </si>
  <si>
    <t>NE160QDM-NZ3-D940 (base机种)</t>
  </si>
  <si>
    <t>NE160QDM-NZ4-8940</t>
  </si>
  <si>
    <r>
      <rPr>
        <sz val="10"/>
        <color theme="1"/>
        <rFont val="微软雅黑"/>
        <charset val="134"/>
      </rPr>
      <t xml:space="preserve">评估模板说明：
</t>
    </r>
    <r>
      <rPr>
        <sz val="10"/>
        <color rgb="FF0000FF"/>
        <rFont val="微软雅黑"/>
        <charset val="134"/>
      </rPr>
      <t>1.  Lenovo Base机种基于16.0-NZ3项目，客户端100g测试通过。</t>
    </r>
    <r>
      <rPr>
        <sz val="10"/>
        <color theme="1"/>
        <rFont val="微软雅黑"/>
        <charset val="134"/>
      </rPr>
      <t xml:space="preserve">后续会持续收集更新base机种在厂内和ODM厂实测数据，优化模型；
</t>
    </r>
    <r>
      <rPr>
        <sz val="10"/>
        <color rgb="FF0000FF"/>
        <rFont val="微软雅黑"/>
        <charset val="134"/>
      </rPr>
      <t>2. Dell Base机种基于16.0-NZ1项目客户端实测135g</t>
    </r>
    <r>
      <rPr>
        <sz val="10"/>
        <color theme="1"/>
        <rFont val="微软雅黑"/>
        <charset val="134"/>
      </rPr>
      <t>。后续会持续收集更新base机种在厂内和ODM厂实测数据，优化模型；
3. 暂无GL57、AL5052等背板材质的增益数据，模拟时建议参考GM55；
4.如果MDL亮度为非常规亮度，比如350nit。建议模拟时MDL亮度选项选择400nit，预留设计margin。（MDL亮度越高，砝码克重越低）</t>
    </r>
  </si>
  <si>
    <t>1.Lenovo项-V4</t>
  </si>
  <si>
    <t>1.背板材质</t>
  </si>
  <si>
    <t>2.背板厚度</t>
  </si>
  <si>
    <t>3.单双折</t>
  </si>
  <si>
    <t>4.MDL亮度</t>
  </si>
  <si>
    <t>5.玻璃材质</t>
  </si>
  <si>
    <t>增益
(参考Dell)</t>
  </si>
  <si>
    <t>6.玻璃厚度</t>
  </si>
  <si>
    <t>增益计算逻辑：
1.背板材质、厚度、单双折的增益，按照一个整体计算；
2.不足：Lenovo模型的 glass材质和厚度增益，无实测数据支持，参考Dell</t>
  </si>
  <si>
    <t>GM55</t>
  </si>
  <si>
    <t>GM55+0.2t</t>
  </si>
  <si>
    <t>GM55+0.2t+单折</t>
  </si>
  <si>
    <t>250nit</t>
  </si>
  <si>
    <t>Astra</t>
  </si>
  <si>
    <t xml:space="preserve">Panel Border (U/L/R/D) </t>
  </si>
  <si>
    <t>1.9/1.9/1.9/5</t>
  </si>
  <si>
    <t>GM55+0.25t</t>
  </si>
  <si>
    <t>GM55+0.2t+双折</t>
  </si>
  <si>
    <t>300nit</t>
  </si>
  <si>
    <t>AGC</t>
  </si>
  <si>
    <t>2.5/2.5/2.5/6.0</t>
  </si>
  <si>
    <t>SUS430</t>
  </si>
  <si>
    <t>GM55+0.3t</t>
  </si>
  <si>
    <t>GM55+0.25t+单折</t>
  </si>
  <si>
    <t>400nit</t>
  </si>
  <si>
    <t>机光关键因子</t>
  </si>
  <si>
    <t>1.背板材质+
2.背板厚度+
3.单双折</t>
  </si>
  <si>
    <t>GM55+0.3t+单折</t>
  </si>
  <si>
    <t>SUS304+0.2t+单折</t>
  </si>
  <si>
    <t>SUS304</t>
  </si>
  <si>
    <t>SUS430+0.2t</t>
  </si>
  <si>
    <t>GM55+0.25t+双折</t>
  </si>
  <si>
    <t>500nit</t>
  </si>
  <si>
    <t>Eagle</t>
  </si>
  <si>
    <t>GL57</t>
  </si>
  <si>
    <t>SUS430+0.3t</t>
  </si>
  <si>
    <t>panel关键因子</t>
  </si>
  <si>
    <t>SUS304+0.2t</t>
  </si>
  <si>
    <t>GM55+0.3t+双折</t>
  </si>
  <si>
    <t>6.玻璃厚度（单层glass）</t>
  </si>
  <si>
    <t>SUS304+0.3t</t>
  </si>
  <si>
    <t>SUS430+0.2t+单折</t>
  </si>
  <si>
    <t>Lenovo砝码克重模拟</t>
  </si>
  <si>
    <t>NZ3总增益</t>
  </si>
  <si>
    <t>SGLC+0.3t</t>
  </si>
  <si>
    <t>SUS430+0.2t+双折</t>
  </si>
  <si>
    <t>NZ3砝码克重实测</t>
  </si>
  <si>
    <t>Lenovo向砝码克重预测</t>
  </si>
  <si>
    <t>SUS430+0.3t+单折</t>
  </si>
  <si>
    <t>SUS430+0.3t+双折</t>
  </si>
  <si>
    <t>NE160WUM-NZ1-D940（base机种）</t>
  </si>
  <si>
    <t>SUS304+0.2t+双折</t>
  </si>
  <si>
    <t>SUS304+0.3t+单折</t>
  </si>
  <si>
    <t>1.95/1.95/1.95/5.5</t>
  </si>
  <si>
    <t>SUS304+0.3t+双折</t>
  </si>
  <si>
    <t>SGLC+0.3t+单折</t>
  </si>
  <si>
    <t>SGLC+0.3t+双折</t>
  </si>
  <si>
    <t>1.Dell项-V4</t>
  </si>
  <si>
    <t>Dell砝码克重模拟</t>
  </si>
  <si>
    <t>NZ1总增益</t>
  </si>
  <si>
    <t>NZ1砝码克重实测</t>
  </si>
  <si>
    <t>Dell向砝码克重预测</t>
  </si>
  <si>
    <t>NE160WUM-NZ1-D940(Base机种)</t>
  </si>
  <si>
    <t>NE133QDM-N60</t>
  </si>
  <si>
    <t>背板选型</t>
  </si>
  <si>
    <t>背板材料选型Data base：NE160WUM-NZ1-D940</t>
  </si>
  <si>
    <t>模组厚度</t>
  </si>
  <si>
    <t>2.2T</t>
  </si>
  <si>
    <t>3.0T</t>
  </si>
  <si>
    <t>≤0.3占比</t>
  </si>
  <si>
    <t>≤0.4占比</t>
  </si>
  <si>
    <t>翘曲度均值</t>
  </si>
  <si>
    <t>≤0.5占比</t>
  </si>
  <si>
    <t>＞0.5占比</t>
  </si>
  <si>
    <t>Avg</t>
  </si>
  <si>
    <t>风险评估等级</t>
  </si>
  <si>
    <t>≤0.3占比提升</t>
  </si>
  <si>
    <t>≤0.4占比提升</t>
  </si>
  <si>
    <t>Avg差值</t>
  </si>
  <si>
    <t>中尺寸</t>
  </si>
  <si>
    <t>小尺寸</t>
  </si>
  <si>
    <t>Base机种</t>
  </si>
  <si>
    <t>SUS 304 0.2T</t>
  </si>
  <si>
    <t>0.2T</t>
  </si>
  <si>
    <t>POL选型</t>
  </si>
  <si>
    <t>119/103</t>
  </si>
  <si>
    <t>GM55 0.3T</t>
  </si>
  <si>
    <t>0.3T</t>
  </si>
  <si>
    <t>GM55 0.2T</t>
  </si>
  <si>
    <t>玻璃材质</t>
  </si>
  <si>
    <t>EXG</t>
  </si>
  <si>
    <t>翘曲度≤0.3占比</t>
  </si>
  <si>
    <t>翘曲度≤0.4占比</t>
  </si>
  <si>
    <t>背板材质&amp;厚度</t>
  </si>
  <si>
    <t>翘曲度风险等级</t>
  </si>
  <si>
    <t>SUS 304 0.3T</t>
  </si>
  <si>
    <t>SGLC 0.3T</t>
  </si>
  <si>
    <t>GM55 0.25T</t>
  </si>
  <si>
    <t>0.25t</t>
  </si>
  <si>
    <t>玻璃材质以及厚度Data base:NE160WUM-NZ1-D940</t>
  </si>
  <si>
    <t>≤0.3</t>
  </si>
  <si>
    <t>≤0.4</t>
  </si>
  <si>
    <t>≤0.5</t>
  </si>
  <si>
    <t>＞0.5</t>
  </si>
  <si>
    <t>差值</t>
  </si>
  <si>
    <t>0.25T</t>
  </si>
  <si>
    <t>0.7</t>
  </si>
  <si>
    <t>0.4T</t>
  </si>
  <si>
    <t>0.5</t>
  </si>
  <si>
    <t>0.075</t>
  </si>
  <si>
    <t xml:space="preserve">Astra </t>
  </si>
  <si>
    <t>0.4</t>
  </si>
  <si>
    <t>0.094</t>
  </si>
  <si>
    <t>POL材质</t>
  </si>
  <si>
    <t>POL Data Sheet 翘曲-NE160WUM-NZ1-D940</t>
  </si>
  <si>
    <t>(0.5,0.6]</t>
  </si>
  <si>
    <t>(0.6,0.7]</t>
  </si>
  <si>
    <t>(0.7,0.8]</t>
  </si>
  <si>
    <t>＞0.8</t>
  </si>
  <si>
    <t>风险等级</t>
  </si>
  <si>
    <t>127/123</t>
  </si>
  <si>
    <t>AG25/APF</t>
  </si>
  <si>
    <t>SDI</t>
  </si>
  <si>
    <t>76/87</t>
  </si>
  <si>
    <t>AG30/APF</t>
  </si>
  <si>
    <t>Nitto</t>
  </si>
  <si>
    <t>110/103</t>
  </si>
  <si>
    <t>AG40/APF</t>
  </si>
  <si>
    <t>SJ</t>
  </si>
  <si>
    <t>76/80</t>
  </si>
  <si>
    <t>76/103</t>
  </si>
  <si>
    <t>110/114</t>
  </si>
  <si>
    <t>AG40/Clear</t>
  </si>
  <si>
    <t>119/114</t>
  </si>
  <si>
    <t>AG25/Clear</t>
  </si>
  <si>
    <t xml:space="preserve">119/114 </t>
  </si>
  <si>
    <t>HC/Clear</t>
  </si>
  <si>
    <t>77/103</t>
  </si>
  <si>
    <t>HC/APF</t>
  </si>
  <si>
    <t>77/87</t>
  </si>
  <si>
    <t>77/80</t>
  </si>
  <si>
    <t>84/87</t>
  </si>
  <si>
    <t>84/80</t>
  </si>
  <si>
    <t>75/103</t>
  </si>
  <si>
    <t>84/103</t>
  </si>
  <si>
    <t>119/ 103</t>
  </si>
  <si>
    <t>112/108</t>
  </si>
  <si>
    <t>Main BLU</t>
  </si>
  <si>
    <t>117/108</t>
  </si>
  <si>
    <t>DWFC</t>
  </si>
  <si>
    <t>79/106</t>
  </si>
  <si>
    <t>SLP</t>
  </si>
  <si>
    <t>123/123</t>
  </si>
  <si>
    <t>AG25/HC</t>
  </si>
  <si>
    <t>DWFC车载</t>
  </si>
  <si>
    <t>116/117</t>
  </si>
  <si>
    <t>Nitto车载</t>
  </si>
  <si>
    <t>尺寸增益系数</t>
  </si>
  <si>
    <t>14寸及以下</t>
  </si>
  <si>
    <t>15-16</t>
  </si>
  <si>
    <t>大尺寸</t>
  </si>
  <si>
    <t>17.3-18</t>
  </si>
  <si>
    <r>
      <rPr>
        <sz val="11"/>
        <color theme="1"/>
        <rFont val="宋体"/>
        <charset val="134"/>
      </rPr>
      <t>選用的參考機種</t>
    </r>
  </si>
  <si>
    <t>Panel Tr.</t>
  </si>
  <si>
    <r>
      <rPr>
        <sz val="11"/>
        <color theme="1"/>
        <rFont val="Calibri"/>
        <charset val="134"/>
      </rPr>
      <t>LED</t>
    </r>
    <r>
      <rPr>
        <sz val="11"/>
        <color theme="1"/>
        <rFont val="宋体"/>
        <charset val="134"/>
      </rPr>
      <t>簡寫</t>
    </r>
    <r>
      <rPr>
        <sz val="11"/>
        <color theme="1"/>
        <rFont val="Calibri"/>
        <charset val="134"/>
      </rPr>
      <t xml:space="preserve"> </t>
    </r>
  </si>
  <si>
    <t>LED Q’ty( ea)</t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</si>
  <si>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宋体"/>
        <charset val="134"/>
      </rPr>
      <t>亮度</t>
    </r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</si>
  <si>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宋体"/>
        <charset val="134"/>
      </rPr>
      <t>電流</t>
    </r>
  </si>
  <si>
    <r>
      <rPr>
        <sz val="11"/>
        <color theme="1"/>
        <rFont val="Calibri"/>
        <charset val="134"/>
      </rPr>
      <t xml:space="preserve">LED </t>
    </r>
    <r>
      <rPr>
        <sz val="11"/>
        <color theme="1"/>
        <rFont val="宋体"/>
        <charset val="134"/>
      </rPr>
      <t>電壓</t>
    </r>
  </si>
  <si>
    <t>BLU Power</t>
  </si>
  <si>
    <t>Top Prism/Down Prism</t>
  </si>
  <si>
    <t xml:space="preserve">BLU Brightness (nits) </t>
  </si>
  <si>
    <r>
      <rPr>
        <sz val="11"/>
        <color theme="1"/>
        <rFont val="Calibri"/>
        <charset val="134"/>
      </rPr>
      <t>BLU 5</t>
    </r>
    <r>
      <rPr>
        <sz val="11"/>
        <color theme="1"/>
        <rFont val="宋体"/>
        <charset val="134"/>
      </rPr>
      <t>点均匀性</t>
    </r>
  </si>
  <si>
    <r>
      <rPr>
        <sz val="11"/>
        <color theme="1"/>
        <rFont val="Calibri"/>
        <charset val="134"/>
      </rPr>
      <t>BLU 13</t>
    </r>
    <r>
      <rPr>
        <sz val="11"/>
        <color theme="1"/>
        <rFont val="宋体"/>
        <charset val="134"/>
      </rPr>
      <t>点均匀性</t>
    </r>
  </si>
  <si>
    <r>
      <rPr>
        <sz val="11"/>
        <color theme="1"/>
        <rFont val="Calibri"/>
        <charset val="134"/>
      </rPr>
      <t>MDL Brightness (nits) Aging</t>
    </r>
    <r>
      <rPr>
        <sz val="11"/>
        <color theme="1"/>
        <rFont val="宋体"/>
        <charset val="134"/>
      </rPr>
      <t>后</t>
    </r>
  </si>
  <si>
    <t>胶框颜色</t>
  </si>
  <si>
    <t>產品型號</t>
  </si>
  <si>
    <r>
      <rPr>
        <b/>
        <sz val="11"/>
        <color rgb="FF000000"/>
        <rFont val="微软雅黑"/>
        <charset val="134"/>
      </rPr>
      <t>尺寸</t>
    </r>
  </si>
  <si>
    <r>
      <rPr>
        <b/>
        <sz val="11"/>
        <color rgb="FF000000"/>
        <rFont val="微软雅黑"/>
        <charset val="134"/>
      </rPr>
      <t>色域</t>
    </r>
  </si>
  <si>
    <r>
      <rPr>
        <b/>
        <sz val="11"/>
        <color rgb="FF000000"/>
        <rFont val="Arial"/>
        <charset val="134"/>
      </rPr>
      <t>顯示模式</t>
    </r>
  </si>
  <si>
    <r>
      <rPr>
        <b/>
        <sz val="11"/>
        <color rgb="FF000000"/>
        <rFont val="微软雅黑"/>
        <charset val="134"/>
      </rPr>
      <t>解析度</t>
    </r>
  </si>
  <si>
    <r>
      <rPr>
        <b/>
        <sz val="11"/>
        <color rgb="FF000000"/>
        <rFont val="Arial"/>
        <charset val="134"/>
      </rPr>
      <t>膜材是否有上擴</t>
    </r>
  </si>
  <si>
    <t>AA  Size</t>
  </si>
  <si>
    <t>Up  Diffuser</t>
  </si>
  <si>
    <t>LGP(mm)</t>
  </si>
  <si>
    <r>
      <rPr>
        <b/>
        <sz val="11"/>
        <color rgb="FF000000"/>
        <rFont val="Calibri"/>
        <charset val="134"/>
      </rPr>
      <t>LGP</t>
    </r>
    <r>
      <rPr>
        <b/>
        <sz val="11"/>
        <color rgb="FF000000"/>
        <rFont val="宋体"/>
        <charset val="134"/>
      </rPr>
      <t>結構（</t>
    </r>
    <r>
      <rPr>
        <b/>
        <sz val="11"/>
        <color rgb="FF000000"/>
        <rFont val="Calibri"/>
        <charset val="134"/>
      </rPr>
      <t>Normal/V-Cut/IML/Serration</t>
    </r>
    <r>
      <rPr>
        <b/>
        <sz val="11"/>
        <color rgb="FF000000"/>
        <rFont val="宋体"/>
        <charset val="134"/>
      </rPr>
      <t>）</t>
    </r>
  </si>
  <si>
    <t>Reflector Sheet</t>
  </si>
  <si>
    <r>
      <rPr>
        <b/>
        <sz val="11"/>
        <color rgb="FF000000"/>
        <rFont val="Arial"/>
        <charset val="134"/>
      </rPr>
      <t>模組是否</t>
    </r>
    <r>
      <rPr>
        <b/>
        <sz val="11"/>
        <color rgb="FF000000"/>
        <rFont val="Calibri"/>
        <charset val="134"/>
      </rPr>
      <t>Aging</t>
    </r>
  </si>
  <si>
    <r>
      <rPr>
        <b/>
        <sz val="11"/>
        <color rgb="FF0000FF"/>
        <rFont val="Calibri"/>
        <charset val="134"/>
      </rPr>
      <t>BLU</t>
    </r>
    <r>
      <rPr>
        <b/>
        <sz val="11"/>
        <color rgb="FF0000FF"/>
        <rFont val="Arial"/>
        <charset val="134"/>
      </rPr>
      <t>功耗</t>
    </r>
    <r>
      <rPr>
        <b/>
        <sz val="11"/>
        <color rgb="FF0000FF"/>
        <rFont val="Calibri"/>
        <charset val="134"/>
      </rPr>
      <t>(</t>
    </r>
    <r>
      <rPr>
        <b/>
        <sz val="11"/>
        <color rgb="FF0000FF"/>
        <rFont val="Arial"/>
        <charset val="134"/>
      </rPr>
      <t>實測</t>
    </r>
    <r>
      <rPr>
        <b/>
        <sz val="11"/>
        <color rgb="FF0000FF"/>
        <rFont val="Calibri"/>
        <charset val="134"/>
      </rPr>
      <t>)</t>
    </r>
  </si>
  <si>
    <r>
      <rPr>
        <b/>
        <sz val="11"/>
        <color rgb="FF0000FF"/>
        <rFont val="Calibri"/>
        <charset val="134"/>
      </rPr>
      <t>MDL</t>
    </r>
    <r>
      <rPr>
        <b/>
        <sz val="11"/>
        <color rgb="FF0000FF"/>
        <rFont val="宋体"/>
        <charset val="134"/>
      </rPr>
      <t>最低档亮度</t>
    </r>
    <r>
      <rPr>
        <b/>
        <sz val="11"/>
        <color rgb="FF0000FF"/>
        <rFont val="Calibri"/>
        <charset val="134"/>
      </rPr>
      <t>(</t>
    </r>
    <r>
      <rPr>
        <b/>
        <sz val="11"/>
        <color rgb="FF0000FF"/>
        <rFont val="宋体"/>
        <charset val="134"/>
      </rPr>
      <t>實測平均</t>
    </r>
    <r>
      <rPr>
        <b/>
        <sz val="11"/>
        <color rgb="FF0000FF"/>
        <rFont val="Calibri"/>
        <charset val="134"/>
      </rPr>
      <t>)Aging</t>
    </r>
    <r>
      <rPr>
        <b/>
        <sz val="11"/>
        <color rgb="FF0000FF"/>
        <rFont val="宋体"/>
        <charset val="134"/>
      </rPr>
      <t>前</t>
    </r>
  </si>
  <si>
    <r>
      <rPr>
        <b/>
        <sz val="10"/>
        <color rgb="FF000000"/>
        <rFont val="Arial"/>
        <charset val="134"/>
      </rPr>
      <t>-</t>
    </r>
    <r>
      <rPr>
        <b/>
        <sz val="10"/>
        <color rgb="FF000000"/>
        <rFont val="宋体"/>
        <charset val="134"/>
      </rPr>
      <t xml:space="preserve">偏低
</t>
    </r>
    <r>
      <rPr>
        <b/>
        <sz val="10"/>
        <color rgb="FF000000"/>
        <rFont val="Arial"/>
        <charset val="134"/>
      </rPr>
      <t>+</t>
    </r>
    <r>
      <rPr>
        <b/>
        <sz val="10"/>
        <color rgb="FF000000"/>
        <rFont val="宋体"/>
        <charset val="134"/>
      </rPr>
      <t>偏高</t>
    </r>
  </si>
  <si>
    <t>FG Code</t>
  </si>
  <si>
    <t>H</t>
  </si>
  <si>
    <r>
      <rPr>
        <b/>
        <sz val="11"/>
        <color rgb="FF000000"/>
        <rFont val="Calibri"/>
        <charset val="134"/>
      </rPr>
      <t>LED</t>
    </r>
    <r>
      <rPr>
        <b/>
        <sz val="11"/>
        <color rgb="FF000000"/>
        <rFont val="Arial"/>
        <charset val="134"/>
      </rPr>
      <t>廠家</t>
    </r>
  </si>
  <si>
    <r>
      <rPr>
        <b/>
        <sz val="11"/>
        <color rgb="FF000000"/>
        <rFont val="Calibri"/>
        <charset val="134"/>
      </rPr>
      <t>LED Driver</t>
    </r>
    <r>
      <rPr>
        <b/>
        <sz val="11"/>
        <color rgb="FF000000"/>
        <rFont val="Arial"/>
        <charset val="134"/>
      </rPr>
      <t>型號</t>
    </r>
  </si>
  <si>
    <r>
      <rPr>
        <b/>
        <sz val="11"/>
        <color rgb="FF000000"/>
        <rFont val="Calibri"/>
        <charset val="134"/>
      </rPr>
      <t>LED</t>
    </r>
    <r>
      <rPr>
        <b/>
        <sz val="11"/>
        <color rgb="FF000000"/>
        <rFont val="宋体"/>
        <charset val="134"/>
      </rPr>
      <t>簡寫</t>
    </r>
  </si>
  <si>
    <r>
      <rPr>
        <b/>
        <sz val="11"/>
        <color rgb="FF000000"/>
        <rFont val="Arial"/>
        <charset val="134"/>
      </rPr>
      <t>電壓</t>
    </r>
    <r>
      <rPr>
        <b/>
        <sz val="11"/>
        <color rgb="FF000000"/>
        <rFont val="Calibri"/>
        <charset val="134"/>
      </rPr>
      <t>max</t>
    </r>
  </si>
  <si>
    <r>
      <rPr>
        <b/>
        <sz val="11"/>
        <color rgb="FF000000"/>
        <rFont val="Arial"/>
        <charset val="134"/>
      </rPr>
      <t>電流</t>
    </r>
    <r>
      <rPr>
        <b/>
        <sz val="11"/>
        <color rgb="FF000000"/>
        <rFont val="Calibri"/>
        <charset val="134"/>
      </rPr>
      <t>typ</t>
    </r>
  </si>
  <si>
    <r>
      <rPr>
        <b/>
        <sz val="11"/>
        <color rgb="FF0000FF"/>
        <rFont val="宋体"/>
        <charset val="134"/>
      </rPr>
      <t>亮度檔</t>
    </r>
    <r>
      <rPr>
        <b/>
        <sz val="11"/>
        <color rgb="FF0000FF"/>
        <rFont val="Calibri"/>
        <charset val="134"/>
      </rPr>
      <t xml:space="preserve"> (</t>
    </r>
    <r>
      <rPr>
        <b/>
        <sz val="11"/>
        <color rgb="FF0000FF"/>
        <rFont val="宋体"/>
        <charset val="134"/>
      </rPr>
      <t>統一用流明</t>
    </r>
    <r>
      <rPr>
        <b/>
        <sz val="11"/>
        <color rgb="FF0000FF"/>
        <rFont val="Calibri"/>
        <charset val="134"/>
      </rPr>
      <t>)</t>
    </r>
  </si>
  <si>
    <r>
      <rPr>
        <b/>
        <sz val="11"/>
        <color rgb="FF0000FF"/>
        <rFont val="宋体"/>
        <charset val="134"/>
      </rPr>
      <t>規格書此亮度檔搭配的電流</t>
    </r>
  </si>
  <si>
    <r>
      <rPr>
        <b/>
        <sz val="11"/>
        <color rgb="FF0000FF"/>
        <rFont val="Calibri"/>
        <charset val="134"/>
      </rPr>
      <t>BLU</t>
    </r>
    <r>
      <rPr>
        <b/>
        <sz val="11"/>
        <color rgb="FF0000FF"/>
        <rFont val="宋体"/>
        <charset val="134"/>
      </rPr>
      <t>最低亮度档亮度</t>
    </r>
    <r>
      <rPr>
        <b/>
        <sz val="11"/>
        <color rgb="FF0000FF"/>
        <rFont val="Calibri"/>
        <charset val="134"/>
      </rPr>
      <t xml:space="preserve"> (</t>
    </r>
    <r>
      <rPr>
        <b/>
        <sz val="11"/>
        <color rgb="FF0000FF"/>
        <rFont val="宋体"/>
        <charset val="134"/>
      </rPr>
      <t>實測平均</t>
    </r>
    <r>
      <rPr>
        <b/>
        <sz val="11"/>
        <color rgb="FF0000FF"/>
        <rFont val="Calibri"/>
        <charset val="134"/>
      </rPr>
      <t>)Aging</t>
    </r>
    <r>
      <rPr>
        <b/>
        <sz val="11"/>
        <color rgb="FF0000FF"/>
        <rFont val="宋体"/>
        <charset val="134"/>
      </rPr>
      <t>前</t>
    </r>
  </si>
  <si>
    <r>
      <rPr>
        <b/>
        <sz val="11"/>
        <color rgb="FF0000FF"/>
        <rFont val="Calibri"/>
        <charset val="134"/>
      </rPr>
      <t>5</t>
    </r>
    <r>
      <rPr>
        <b/>
        <sz val="11"/>
        <color rgb="FF0000FF"/>
        <rFont val="宋体"/>
        <charset val="134"/>
      </rPr>
      <t xml:space="preserve">点均匀性
</t>
    </r>
    <r>
      <rPr>
        <b/>
        <sz val="11"/>
        <color rgb="FF0000FF"/>
        <rFont val="Calibri"/>
        <charset val="134"/>
      </rPr>
      <t>(</t>
    </r>
    <r>
      <rPr>
        <b/>
        <sz val="11"/>
        <color rgb="FF0000FF"/>
        <rFont val="宋体"/>
        <charset val="134"/>
      </rPr>
      <t>實測平均</t>
    </r>
    <r>
      <rPr>
        <b/>
        <sz val="11"/>
        <color rgb="FF0000FF"/>
        <rFont val="Calibri"/>
        <charset val="134"/>
      </rPr>
      <t>)</t>
    </r>
  </si>
  <si>
    <r>
      <rPr>
        <b/>
        <sz val="11"/>
        <color rgb="FF0000FF"/>
        <rFont val="Calibri"/>
        <charset val="134"/>
      </rPr>
      <t>13</t>
    </r>
    <r>
      <rPr>
        <b/>
        <sz val="11"/>
        <color rgb="FF0000FF"/>
        <rFont val="宋体"/>
        <charset val="134"/>
      </rPr>
      <t xml:space="preserve">点均匀性
</t>
    </r>
    <r>
      <rPr>
        <b/>
        <sz val="11"/>
        <color rgb="FF0000FF"/>
        <rFont val="Calibri"/>
        <charset val="134"/>
      </rPr>
      <t>(</t>
    </r>
    <r>
      <rPr>
        <b/>
        <sz val="11"/>
        <color rgb="FF0000FF"/>
        <rFont val="宋体"/>
        <charset val="134"/>
      </rPr>
      <t>實測平均</t>
    </r>
    <r>
      <rPr>
        <b/>
        <sz val="11"/>
        <color rgb="FF0000FF"/>
        <rFont val="Calibri"/>
        <charset val="134"/>
      </rPr>
      <t>)</t>
    </r>
  </si>
  <si>
    <r>
      <rPr>
        <b/>
        <sz val="11"/>
        <color rgb="FF0000FF"/>
        <rFont val="Calibri"/>
        <charset val="134"/>
      </rPr>
      <t>BLU</t>
    </r>
    <r>
      <rPr>
        <b/>
        <sz val="11"/>
        <color rgb="FF0000FF"/>
        <rFont val="宋体"/>
        <charset val="134"/>
      </rPr>
      <t>最低亮度档亮度</t>
    </r>
    <r>
      <rPr>
        <b/>
        <sz val="11"/>
        <color rgb="FF0000FF"/>
        <rFont val="Calibri"/>
        <charset val="134"/>
      </rPr>
      <t xml:space="preserve"> (</t>
    </r>
    <r>
      <rPr>
        <b/>
        <sz val="11"/>
        <color rgb="FF0000FF"/>
        <rFont val="宋体"/>
        <charset val="134"/>
      </rPr>
      <t>實測平均</t>
    </r>
    <r>
      <rPr>
        <b/>
        <sz val="11"/>
        <color rgb="FF0000FF"/>
        <rFont val="Calibri"/>
        <charset val="134"/>
      </rPr>
      <t>)Aging</t>
    </r>
    <r>
      <rPr>
        <b/>
        <sz val="11"/>
        <color rgb="FF0000FF"/>
        <rFont val="宋体"/>
        <charset val="134"/>
      </rPr>
      <t>后</t>
    </r>
  </si>
  <si>
    <r>
      <rPr>
        <b/>
        <sz val="11"/>
        <color rgb="FF0000FF"/>
        <rFont val="Calibri"/>
        <charset val="134"/>
      </rPr>
      <t>MDL</t>
    </r>
    <r>
      <rPr>
        <b/>
        <sz val="11"/>
        <color rgb="FF0000FF"/>
        <rFont val="宋体"/>
        <charset val="134"/>
      </rPr>
      <t>最低档亮度</t>
    </r>
    <r>
      <rPr>
        <b/>
        <sz val="11"/>
        <color rgb="FF0000FF"/>
        <rFont val="Calibri"/>
        <charset val="134"/>
      </rPr>
      <t>(</t>
    </r>
    <r>
      <rPr>
        <b/>
        <sz val="11"/>
        <color rgb="FF0000FF"/>
        <rFont val="宋体"/>
        <charset val="134"/>
      </rPr>
      <t>實測平均</t>
    </r>
    <r>
      <rPr>
        <b/>
        <sz val="11"/>
        <color rgb="FF0000FF"/>
        <rFont val="Calibri"/>
        <charset val="134"/>
      </rPr>
      <t>)Aging</t>
    </r>
    <r>
      <rPr>
        <b/>
        <sz val="11"/>
        <color rgb="FF0000FF"/>
        <rFont val="宋体"/>
        <charset val="134"/>
      </rPr>
      <t>后</t>
    </r>
  </si>
  <si>
    <r>
      <rPr>
        <b/>
        <sz val="11"/>
        <color rgb="FF0000FF"/>
        <rFont val="宋体"/>
        <charset val="134"/>
      </rPr>
      <t>模組厚度</t>
    </r>
    <r>
      <rPr>
        <b/>
        <sz val="11"/>
        <color rgb="FF0000FF"/>
        <rFont val="Calibri"/>
        <charset val="134"/>
      </rPr>
      <t xml:space="preserve"> (MAX)</t>
    </r>
  </si>
  <si>
    <t>HP</t>
  </si>
  <si>
    <t>NE156QUM-NZ4-3940</t>
  </si>
  <si>
    <t>sRGB 100%</t>
  </si>
  <si>
    <t>HADS</t>
  </si>
  <si>
    <t>UHD</t>
  </si>
  <si>
    <t>4206(RG540)</t>
  </si>
  <si>
    <t>日亚</t>
  </si>
  <si>
    <r>
      <rPr>
        <sz val="11"/>
        <color theme="1"/>
        <rFont val="Calibri"/>
        <charset val="134"/>
      </rPr>
      <t>4206(KSF+β-sailon(540)-</t>
    </r>
    <r>
      <rPr>
        <sz val="11"/>
        <color theme="1"/>
        <rFont val="宋体"/>
        <charset val="134"/>
      </rPr>
      <t>日亞</t>
    </r>
    <r>
      <rPr>
        <sz val="11"/>
        <color theme="1"/>
        <rFont val="Calibri"/>
        <charset val="134"/>
      </rPr>
      <t>)-</t>
    </r>
    <r>
      <rPr>
        <sz val="11"/>
        <color theme="1"/>
        <rFont val="宋体"/>
        <charset val="134"/>
      </rPr>
      <t>無</t>
    </r>
    <r>
      <rPr>
        <sz val="11"/>
        <color theme="1"/>
        <rFont val="Calibri"/>
        <charset val="134"/>
      </rPr>
      <t>Zener</t>
    </r>
  </si>
  <si>
    <t>JS562HK</t>
  </si>
  <si>
    <t>XLAS201TJM5(50V)</t>
  </si>
  <si>
    <t>CH19NU</t>
  </si>
  <si>
    <t>V-Cut</t>
  </si>
  <si>
    <r>
      <rPr>
        <sz val="11"/>
        <rFont val="Calibri"/>
        <charset val="134"/>
      </rPr>
      <t xml:space="preserve">PC </t>
    </r>
    <r>
      <rPr>
        <sz val="11"/>
        <rFont val="宋体"/>
        <charset val="134"/>
      </rPr>
      <t>白</t>
    </r>
  </si>
  <si>
    <t>Lumirex II-R20-150</t>
  </si>
  <si>
    <r>
      <rPr>
        <sz val="11"/>
        <rFont val="宋体"/>
        <charset val="134"/>
      </rPr>
      <t>是</t>
    </r>
    <r>
      <rPr>
        <sz val="11"/>
        <rFont val="Calibri"/>
        <charset val="136"/>
      </rPr>
      <t>(Normal)</t>
    </r>
  </si>
  <si>
    <t>朱孝菲</t>
  </si>
  <si>
    <t>NE156QUM-N5G-3940</t>
  </si>
  <si>
    <t>3006(RG540)</t>
  </si>
  <si>
    <t>AOT</t>
  </si>
  <si>
    <r>
      <rPr>
        <sz val="11"/>
        <color theme="1"/>
        <rFont val="Calibri"/>
        <charset val="134"/>
      </rPr>
      <t>3006(KSF+β-sailon(540)-</t>
    </r>
    <r>
      <rPr>
        <sz val="11"/>
        <color theme="1"/>
        <rFont val="宋体"/>
        <charset val="134"/>
      </rPr>
      <t>展晶</t>
    </r>
    <r>
      <rPr>
        <sz val="11"/>
        <color theme="1"/>
        <rFont val="Calibri"/>
        <charset val="134"/>
      </rPr>
      <t>)-2.9V MAX-</t>
    </r>
    <r>
      <rPr>
        <sz val="11"/>
        <color theme="1"/>
        <rFont val="宋体"/>
        <charset val="134"/>
      </rPr>
      <t>無</t>
    </r>
    <r>
      <rPr>
        <sz val="11"/>
        <color theme="1"/>
        <rFont val="Calibri"/>
        <charset val="134"/>
      </rPr>
      <t>Zener</t>
    </r>
  </si>
  <si>
    <t>JS568HK</t>
  </si>
  <si>
    <t>XLAS201WJM5(50L)</t>
  </si>
  <si>
    <t>Lumirex II-R20-100</t>
  </si>
  <si>
    <t>ASUS</t>
  </si>
  <si>
    <t>NE156QUM-N67-3940</t>
  </si>
  <si>
    <t>NV126B5M-N41-D940</t>
  </si>
  <si>
    <t xml:space="preserve">45%NTSC </t>
  </si>
  <si>
    <t>ADS</t>
  </si>
  <si>
    <t>FHD</t>
  </si>
  <si>
    <t>309.312</t>
  </si>
  <si>
    <t>82.967</t>
  </si>
  <si>
    <t>3806(silicate)</t>
  </si>
  <si>
    <t>盈硕</t>
  </si>
  <si>
    <r>
      <rPr>
        <sz val="11"/>
        <color rgb="FF000000"/>
        <rFont val="Calibri"/>
        <charset val="134"/>
      </rPr>
      <t>3806(S-</t>
    </r>
    <r>
      <rPr>
        <sz val="11"/>
        <color rgb="FF000000"/>
        <rFont val="宋体"/>
        <charset val="134"/>
      </rPr>
      <t>盈碩</t>
    </r>
    <r>
      <rPr>
        <sz val="11"/>
        <color rgb="FF000000"/>
        <rFont val="Calibri"/>
        <charset val="134"/>
      </rPr>
      <t>)-2.9V MAX-</t>
    </r>
    <r>
      <rPr>
        <sz val="11"/>
        <color rgb="FF000000"/>
        <rFont val="宋体"/>
        <charset val="134"/>
      </rPr>
      <t>無</t>
    </r>
    <r>
      <rPr>
        <sz val="11"/>
        <color rgb="FF000000"/>
        <rFont val="Calibri"/>
        <charset val="134"/>
      </rPr>
      <t>Zener</t>
    </r>
  </si>
  <si>
    <r>
      <rPr>
        <sz val="11"/>
        <color rgb="FF000000"/>
        <rFont val="微软雅黑"/>
        <charset val="134"/>
      </rPr>
      <t>否</t>
    </r>
  </si>
  <si>
    <t>否(Normal)</t>
  </si>
  <si>
    <t>朱成兵</t>
  </si>
  <si>
    <t>NV140XTM-N52-3RA0</t>
  </si>
  <si>
    <t xml:space="preserve">72%NTSC </t>
  </si>
  <si>
    <t>344.2176</t>
  </si>
  <si>
    <t>98.604</t>
  </si>
  <si>
    <r>
      <rPr>
        <sz val="11"/>
        <color rgb="FF000000"/>
        <rFont val="Calibri"/>
        <charset val="134"/>
      </rPr>
      <t>3006(KSF+β-sailon(540)-</t>
    </r>
    <r>
      <rPr>
        <sz val="11"/>
        <color rgb="FF000000"/>
        <rFont val="宋体"/>
        <charset val="134"/>
      </rPr>
      <t>展晶</t>
    </r>
    <r>
      <rPr>
        <sz val="11"/>
        <color rgb="FF000000"/>
        <rFont val="Calibri"/>
        <charset val="134"/>
      </rPr>
      <t>)-2.9V MAX-</t>
    </r>
    <r>
      <rPr>
        <sz val="11"/>
        <color rgb="FF000000"/>
        <rFont val="宋体"/>
        <charset val="134"/>
      </rPr>
      <t>無</t>
    </r>
    <r>
      <rPr>
        <sz val="11"/>
        <color rgb="FF000000"/>
        <rFont val="Calibri"/>
        <charset val="134"/>
      </rPr>
      <t>Zener</t>
    </r>
  </si>
  <si>
    <t>NV161FHM-N41-3RA0</t>
  </si>
  <si>
    <t>355.39</t>
  </si>
  <si>
    <t>199.91</t>
  </si>
  <si>
    <t>AOS-C7B/SOS-Y5G</t>
  </si>
  <si>
    <t>B100VU</t>
  </si>
  <si>
    <t>Lumirex II-M20-150</t>
  </si>
  <si>
    <t>NV161FHM-N61-3RA0</t>
  </si>
  <si>
    <t>是(Normal)</t>
  </si>
  <si>
    <t>NV161FHM-NY1-3940</t>
  </si>
  <si>
    <t>DELL</t>
  </si>
  <si>
    <t>NV140FHM-T03-3RA0</t>
  </si>
  <si>
    <t>45%NTSC</t>
  </si>
  <si>
    <r>
      <rPr>
        <sz val="11"/>
        <color theme="1"/>
        <rFont val="Calibri"/>
        <charset val="134"/>
      </rPr>
      <t>3806</t>
    </r>
    <r>
      <rPr>
        <sz val="11"/>
        <color theme="1"/>
        <rFont val="宋体"/>
        <charset val="134"/>
      </rPr>
      <t>（</t>
    </r>
    <r>
      <rPr>
        <sz val="11"/>
        <color theme="1"/>
        <rFont val="Calibri"/>
        <charset val="134"/>
      </rPr>
      <t>Silicate</t>
    </r>
    <r>
      <rPr>
        <sz val="11"/>
        <color theme="1"/>
        <rFont val="宋体"/>
        <charset val="134"/>
      </rPr>
      <t>）</t>
    </r>
  </si>
  <si>
    <t>穂晶</t>
  </si>
  <si>
    <r>
      <rPr>
        <sz val="11"/>
        <color theme="1"/>
        <rFont val="Calibri"/>
        <charset val="134"/>
      </rPr>
      <t>3806(S-</t>
    </r>
    <r>
      <rPr>
        <sz val="11"/>
        <color theme="1"/>
        <rFont val="宋体"/>
        <charset val="134"/>
      </rPr>
      <t>穗晶</t>
    </r>
    <r>
      <rPr>
        <sz val="11"/>
        <color theme="1"/>
        <rFont val="Calibri"/>
        <charset val="134"/>
      </rPr>
      <t>)-</t>
    </r>
    <r>
      <rPr>
        <sz val="11"/>
        <color theme="1"/>
        <rFont val="宋体"/>
        <charset val="134"/>
      </rPr>
      <t>有</t>
    </r>
    <r>
      <rPr>
        <sz val="11"/>
        <color theme="1"/>
        <rFont val="Calibri"/>
        <charset val="134"/>
      </rPr>
      <t>Zener</t>
    </r>
  </si>
  <si>
    <t>JS560HK</t>
  </si>
  <si>
    <t>BEF2-DT-155(50)/BEF2-DT-155(50)</t>
  </si>
  <si>
    <t>CH27NU</t>
  </si>
  <si>
    <r>
      <rPr>
        <sz val="11"/>
        <rFont val="宋体"/>
        <charset val="134"/>
      </rPr>
      <t>否</t>
    </r>
    <r>
      <rPr>
        <sz val="11"/>
        <rFont val="Calibri"/>
        <charset val="136"/>
      </rPr>
      <t>(Normal)</t>
    </r>
  </si>
  <si>
    <t>夏叶荫</t>
  </si>
  <si>
    <t>LENOVO</t>
  </si>
  <si>
    <t>NV140FHM-T05-3940</t>
  </si>
  <si>
    <t>3006(YAG)</t>
  </si>
  <si>
    <r>
      <rPr>
        <sz val="11"/>
        <color theme="1"/>
        <rFont val="Calibri"/>
        <charset val="134"/>
      </rPr>
      <t>3006(YAG-</t>
    </r>
    <r>
      <rPr>
        <sz val="11"/>
        <color theme="1"/>
        <rFont val="宋体"/>
        <charset val="134"/>
      </rPr>
      <t>盈碩</t>
    </r>
    <r>
      <rPr>
        <sz val="11"/>
        <color theme="1"/>
        <rFont val="Calibri"/>
        <charset val="134"/>
      </rPr>
      <t>)-2.9V MAX-</t>
    </r>
    <r>
      <rPr>
        <sz val="11"/>
        <color theme="1"/>
        <rFont val="宋体"/>
        <charset val="134"/>
      </rPr>
      <t>無</t>
    </r>
    <r>
      <rPr>
        <sz val="11"/>
        <color theme="1"/>
        <rFont val="Calibri"/>
        <charset val="134"/>
      </rPr>
      <t>Zener</t>
    </r>
  </si>
  <si>
    <t>HLS504-03/HS504E</t>
  </si>
  <si>
    <t>CH196NU</t>
  </si>
  <si>
    <t>三星</t>
  </si>
  <si>
    <t xml:space="preserve"> NE133FHM-N55-5RA1</t>
  </si>
  <si>
    <t>DCI-P3 95%min</t>
  </si>
  <si>
    <r>
      <rPr>
        <sz val="11"/>
        <color rgb="FF000000"/>
        <rFont val="Calibri"/>
        <charset val="134"/>
      </rPr>
      <t>3006</t>
    </r>
    <r>
      <rPr>
        <sz val="11"/>
        <color theme="1"/>
        <rFont val="宋体"/>
        <charset val="134"/>
        <scheme val="minor"/>
      </rPr>
      <t>（</t>
    </r>
    <r>
      <rPr>
        <sz val="11"/>
        <color rgb="FF000000"/>
        <rFont val="Calibri"/>
        <charset val="134"/>
      </rPr>
      <t>Blue</t>
    </r>
    <r>
      <rPr>
        <sz val="11"/>
        <color theme="1"/>
        <rFont val="宋体"/>
        <charset val="134"/>
        <scheme val="minor"/>
      </rPr>
      <t>）</t>
    </r>
  </si>
  <si>
    <t>Lumens</t>
  </si>
  <si>
    <r>
      <rPr>
        <sz val="11"/>
        <color rgb="FF000000"/>
        <rFont val="Calibri"/>
        <charset val="134"/>
      </rPr>
      <t>3006</t>
    </r>
    <r>
      <rPr>
        <sz val="11"/>
        <color theme="1"/>
        <rFont val="宋体"/>
        <charset val="134"/>
        <scheme val="minor"/>
      </rPr>
      <t>（</t>
    </r>
    <r>
      <rPr>
        <sz val="11"/>
        <color rgb="FF000000"/>
        <rFont val="Calibri"/>
        <charset val="134"/>
      </rPr>
      <t>blue-lumens</t>
    </r>
    <r>
      <rPr>
        <sz val="11"/>
        <color theme="1"/>
        <rFont val="宋体"/>
        <charset val="134"/>
        <scheme val="minor"/>
      </rPr>
      <t>），无</t>
    </r>
    <r>
      <rPr>
        <sz val="11"/>
        <color rgb="FF000000"/>
        <rFont val="Calibri"/>
        <charset val="134"/>
      </rPr>
      <t>zener</t>
    </r>
  </si>
  <si>
    <t>24-25mw</t>
  </si>
  <si>
    <t>QD sheet</t>
  </si>
  <si>
    <t>V-cut</t>
  </si>
  <si>
    <r>
      <rPr>
        <sz val="11"/>
        <color rgb="FF000000"/>
        <rFont val="Calibri"/>
        <charset val="134"/>
      </rPr>
      <t xml:space="preserve">PC </t>
    </r>
    <r>
      <rPr>
        <sz val="11"/>
        <color rgb="FF000000"/>
        <rFont val="宋体"/>
        <charset val="134"/>
      </rPr>
      <t>白</t>
    </r>
  </si>
  <si>
    <t>EST150BS</t>
  </si>
  <si>
    <r>
      <rPr>
        <sz val="11"/>
        <color theme="1"/>
        <rFont val="宋体"/>
        <charset val="134"/>
        <scheme val="minor"/>
      </rPr>
      <t>是</t>
    </r>
    <r>
      <rPr>
        <sz val="11"/>
        <color rgb="FF000000"/>
        <rFont val="Calibri"/>
        <charset val="134"/>
      </rPr>
      <t>(Normal)</t>
    </r>
  </si>
  <si>
    <t>龚庸才</t>
  </si>
  <si>
    <t>NE133FHM-N57-5RA2</t>
  </si>
  <si>
    <t>Acer</t>
  </si>
  <si>
    <t>NV116WHM-T16-3941</t>
  </si>
  <si>
    <t xml:space="preserve">50%NTSC </t>
  </si>
  <si>
    <t>HD</t>
  </si>
  <si>
    <t>256.125</t>
  </si>
  <si>
    <r>
      <rPr>
        <sz val="11"/>
        <color rgb="FF000000"/>
        <rFont val="微软雅黑"/>
        <charset val="134"/>
      </rPr>
      <t>億光</t>
    </r>
  </si>
  <si>
    <t>ANX6903</t>
  </si>
  <si>
    <r>
      <rPr>
        <sz val="11"/>
        <color rgb="FF000000"/>
        <rFont val="Calibri"/>
        <charset val="134"/>
      </rPr>
      <t>3806(S-</t>
    </r>
    <r>
      <rPr>
        <sz val="11"/>
        <color rgb="FF000000"/>
        <rFont val="微軟正黑體"/>
        <charset val="134"/>
      </rPr>
      <t>億光</t>
    </r>
    <r>
      <rPr>
        <sz val="11"/>
        <color rgb="FF000000"/>
        <rFont val="Calibri"/>
        <charset val="134"/>
      </rPr>
      <t>)-3.0V MAX-</t>
    </r>
    <r>
      <rPr>
        <sz val="11"/>
        <color rgb="FF000000"/>
        <rFont val="微軟正黑體"/>
        <charset val="134"/>
      </rPr>
      <t>無</t>
    </r>
    <r>
      <rPr>
        <sz val="11"/>
        <color rgb="FF000000"/>
        <rFont val="Calibri"/>
        <charset val="134"/>
      </rPr>
      <t>Zener</t>
    </r>
  </si>
  <si>
    <t>KBED-160R/KBUO-125N</t>
  </si>
  <si>
    <t>BS539E</t>
  </si>
  <si>
    <t>Lumirex II-M20-188</t>
  </si>
  <si>
    <t>黄炯</t>
  </si>
  <si>
    <r>
      <rPr>
        <sz val="11"/>
        <color rgb="FF000000"/>
        <rFont val="Arial"/>
        <charset val="134"/>
      </rPr>
      <t>A/P:0.63</t>
    </r>
    <r>
      <rPr>
        <sz val="11"/>
        <color rgb="FF000000"/>
        <rFont val="宋体"/>
        <charset val="134"/>
      </rPr>
      <t>，通过</t>
    </r>
    <r>
      <rPr>
        <sz val="11"/>
        <color rgb="FF000000"/>
        <rFont val="Arial"/>
        <charset val="134"/>
      </rPr>
      <t>LGP</t>
    </r>
    <r>
      <rPr>
        <sz val="11"/>
        <color rgb="FF000000"/>
        <rFont val="宋体"/>
        <charset val="134"/>
      </rPr>
      <t>牺牲亮度，改善</t>
    </r>
    <r>
      <rPr>
        <sz val="11"/>
        <color rgb="FF000000"/>
        <rFont val="Arial"/>
        <charset val="134"/>
      </rPr>
      <t>Hotspot</t>
    </r>
    <r>
      <rPr>
        <sz val="11"/>
        <color rgb="FF000000"/>
        <rFont val="宋体"/>
        <charset val="134"/>
      </rPr>
      <t>，差异：</t>
    </r>
    <r>
      <rPr>
        <sz val="11"/>
        <color rgb="FF000000"/>
        <rFont val="Arial"/>
        <charset val="134"/>
      </rPr>
      <t>8%</t>
    </r>
  </si>
  <si>
    <t>联想</t>
  </si>
  <si>
    <t>NE156QUM-N6A-3940</t>
  </si>
  <si>
    <t>100% Adobe</t>
  </si>
  <si>
    <r>
      <rPr>
        <sz val="11"/>
        <color rgb="FF000000"/>
        <rFont val="Calibri"/>
        <charset val="134"/>
      </rPr>
      <t>4206(KSF+β-sailon(540)-</t>
    </r>
    <r>
      <rPr>
        <sz val="11"/>
        <color rgb="FF000000"/>
        <rFont val="宋体"/>
        <charset val="134"/>
      </rPr>
      <t>日亞</t>
    </r>
    <r>
      <rPr>
        <sz val="11"/>
        <color rgb="FF000000"/>
        <rFont val="Calibri"/>
        <charset val="134"/>
      </rPr>
      <t>)-</t>
    </r>
    <r>
      <rPr>
        <sz val="11"/>
        <color rgb="FF000000"/>
        <rFont val="宋体"/>
        <charset val="134"/>
      </rPr>
      <t>無</t>
    </r>
    <r>
      <rPr>
        <sz val="11"/>
        <color rgb="FF000000"/>
        <rFont val="Calibri"/>
        <charset val="134"/>
      </rPr>
      <t>Zener</t>
    </r>
  </si>
  <si>
    <r>
      <rPr>
        <sz val="11"/>
        <color rgb="FF000000"/>
        <rFont val="宋体"/>
        <charset val="134"/>
      </rPr>
      <t>是</t>
    </r>
    <r>
      <rPr>
        <sz val="11"/>
        <color rgb="FF000000"/>
        <rFont val="Calibri"/>
        <charset val="134"/>
      </rPr>
      <t>(Normal)</t>
    </r>
  </si>
  <si>
    <t>Lenovo</t>
  </si>
  <si>
    <t>DCI-P3 100% typ / DCI-P3 90% min(CIE1931)</t>
  </si>
  <si>
    <t>309.31</t>
  </si>
  <si>
    <t>173.99</t>
  </si>
  <si>
    <r>
      <rPr>
        <sz val="11"/>
        <color rgb="FF000000"/>
        <rFont val="Calibri"/>
        <charset val="134"/>
      </rPr>
      <t>3006(KSF+β-sailon(540)-</t>
    </r>
    <r>
      <rPr>
        <sz val="11"/>
        <color rgb="FF000000"/>
        <rFont val="宋体"/>
        <charset val="134"/>
      </rPr>
      <t>日亞</t>
    </r>
    <r>
      <rPr>
        <sz val="11"/>
        <color rgb="FF000000"/>
        <rFont val="Calibri"/>
        <charset val="134"/>
      </rPr>
      <t>)-</t>
    </r>
    <r>
      <rPr>
        <sz val="11"/>
        <color rgb="FF000000"/>
        <rFont val="宋体"/>
        <charset val="134"/>
      </rPr>
      <t>無</t>
    </r>
    <r>
      <rPr>
        <sz val="11"/>
        <color rgb="FF000000"/>
        <rFont val="Calibri"/>
        <charset val="134"/>
      </rPr>
      <t>Zener</t>
    </r>
  </si>
  <si>
    <t>EST100BS</t>
  </si>
  <si>
    <t>汪胜</t>
  </si>
  <si>
    <t>同方</t>
  </si>
  <si>
    <t>NE156FHM-N61-5940</t>
  </si>
  <si>
    <t>SRGB 100%</t>
  </si>
  <si>
    <t>344.16</t>
  </si>
  <si>
    <t>193.59</t>
  </si>
  <si>
    <t>3M-EDR95V2</t>
  </si>
  <si>
    <t>NE140QUM-N71-5940</t>
  </si>
  <si>
    <r>
      <rPr>
        <sz val="11"/>
        <color theme="1"/>
        <rFont val="Calibri"/>
        <charset val="134"/>
      </rPr>
      <t>3006(KSF+β-sailon(540)-</t>
    </r>
    <r>
      <rPr>
        <sz val="11"/>
        <color theme="1"/>
        <rFont val="宋体"/>
        <charset val="134"/>
      </rPr>
      <t>日亞</t>
    </r>
    <r>
      <rPr>
        <sz val="11"/>
        <color theme="1"/>
        <rFont val="Calibri"/>
        <charset val="134"/>
      </rPr>
      <t>)-</t>
    </r>
    <r>
      <rPr>
        <sz val="11"/>
        <color theme="1"/>
        <rFont val="宋体"/>
        <charset val="134"/>
      </rPr>
      <t>無</t>
    </r>
    <r>
      <rPr>
        <sz val="11"/>
        <color theme="1"/>
        <rFont val="Calibri"/>
        <charset val="134"/>
      </rPr>
      <t>Zener</t>
    </r>
  </si>
  <si>
    <t>XLAS131WJM5(50L)</t>
  </si>
  <si>
    <r>
      <rPr>
        <b/>
        <sz val="11"/>
        <color rgb="FF000000"/>
        <rFont val="Arial"/>
        <charset val="134"/>
      </rPr>
      <t>NEC</t>
    </r>
    <r>
      <rPr>
        <sz val="11"/>
        <color theme="1"/>
        <rFont val="宋体"/>
        <charset val="134"/>
      </rPr>
      <t>（</t>
    </r>
    <r>
      <rPr>
        <sz val="11"/>
        <color theme="1"/>
        <rFont val="Arial"/>
        <charset val="134"/>
      </rPr>
      <t>TLCM</t>
    </r>
    <r>
      <rPr>
        <sz val="11"/>
        <color theme="1"/>
        <rFont val="宋体"/>
        <charset val="134"/>
      </rPr>
      <t>）</t>
    </r>
  </si>
  <si>
    <t>NV116WHM-T15-3941</t>
  </si>
  <si>
    <t>SA85S/QC85S</t>
  </si>
  <si>
    <r>
      <rPr>
        <sz val="11"/>
        <color rgb="FF000000"/>
        <rFont val="宋体"/>
        <charset val="134"/>
      </rPr>
      <t>否</t>
    </r>
    <r>
      <rPr>
        <sz val="11"/>
        <color rgb="FF000000"/>
        <rFont val="Calibri"/>
        <charset val="134"/>
      </rPr>
      <t>(Normal)</t>
    </r>
  </si>
  <si>
    <t>汤兵兵</t>
  </si>
  <si>
    <r>
      <rPr>
        <sz val="11"/>
        <color theme="1"/>
        <rFont val="Arial"/>
        <charset val="134"/>
      </rPr>
      <t>A/P:0.63</t>
    </r>
    <r>
      <rPr>
        <sz val="11"/>
        <color theme="1"/>
        <rFont val="宋体"/>
        <charset val="134"/>
      </rPr>
      <t>，通过</t>
    </r>
    <r>
      <rPr>
        <sz val="11"/>
        <color theme="1"/>
        <rFont val="Arial"/>
        <charset val="134"/>
      </rPr>
      <t>LGP</t>
    </r>
    <r>
      <rPr>
        <sz val="11"/>
        <color theme="1"/>
        <rFont val="宋体"/>
        <charset val="134"/>
      </rPr>
      <t>牺牲亮度，改善</t>
    </r>
    <r>
      <rPr>
        <sz val="11"/>
        <color theme="1"/>
        <rFont val="Arial"/>
        <charset val="134"/>
      </rPr>
      <t>Hotspot</t>
    </r>
    <r>
      <rPr>
        <sz val="11"/>
        <color theme="1"/>
        <rFont val="宋体"/>
        <charset val="134"/>
      </rPr>
      <t>，差异：</t>
    </r>
    <r>
      <rPr>
        <sz val="11"/>
        <color theme="1"/>
        <rFont val="Arial"/>
        <charset val="134"/>
      </rPr>
      <t>8%</t>
    </r>
  </si>
  <si>
    <t>Fujitsu</t>
  </si>
  <si>
    <t xml:space="preserve">NV125FHM-N84-3940 </t>
  </si>
  <si>
    <t>东贝</t>
  </si>
  <si>
    <r>
      <rPr>
        <sz val="11"/>
        <color rgb="FF000000"/>
        <rFont val="Calibri"/>
        <charset val="134"/>
      </rPr>
      <t>3806(S-</t>
    </r>
    <r>
      <rPr>
        <sz val="11"/>
        <color theme="1"/>
        <rFont val="宋体"/>
        <charset val="134"/>
      </rPr>
      <t>東貝</t>
    </r>
    <r>
      <rPr>
        <sz val="11"/>
        <color theme="1"/>
        <rFont val="Calibri"/>
        <charset val="134"/>
      </rPr>
      <t>)-2.9V MAX-</t>
    </r>
    <r>
      <rPr>
        <sz val="11"/>
        <color theme="1"/>
        <rFont val="宋体"/>
        <charset val="134"/>
      </rPr>
      <t>有</t>
    </r>
    <r>
      <rPr>
        <sz val="11"/>
        <color theme="1"/>
        <rFont val="Calibri"/>
        <charset val="134"/>
      </rPr>
      <t>Zener</t>
    </r>
  </si>
  <si>
    <t>SOS-Y5G/SOS-Y5G</t>
  </si>
  <si>
    <t>CH676NU</t>
  </si>
  <si>
    <t>NV116WHM-N45-3940</t>
  </si>
  <si>
    <t>谢王宝</t>
  </si>
  <si>
    <t>NV156FHM-N4N-3940</t>
  </si>
  <si>
    <r>
      <rPr>
        <sz val="11"/>
        <color rgb="FF000000"/>
        <rFont val="Calibri"/>
        <charset val="134"/>
      </rPr>
      <t>3806(S-</t>
    </r>
    <r>
      <rPr>
        <sz val="11"/>
        <color rgb="FF000000"/>
        <rFont val="宋体"/>
        <charset val="134"/>
      </rPr>
      <t>聚飛</t>
    </r>
    <r>
      <rPr>
        <sz val="11"/>
        <color rgb="FF000000"/>
        <rFont val="Calibri"/>
        <charset val="134"/>
      </rPr>
      <t>)-2.9V MAX-</t>
    </r>
    <r>
      <rPr>
        <sz val="11"/>
        <color rgb="FF000000"/>
        <rFont val="宋体"/>
        <charset val="134"/>
      </rPr>
      <t>無</t>
    </r>
    <r>
      <rPr>
        <sz val="11"/>
        <color rgb="FF000000"/>
        <rFont val="Calibri"/>
        <charset val="134"/>
      </rPr>
      <t>Zener</t>
    </r>
  </si>
  <si>
    <r>
      <rPr>
        <sz val="11"/>
        <color rgb="FF000000"/>
        <rFont val="Calibri"/>
        <charset val="134"/>
      </rPr>
      <t>Normal
(</t>
    </r>
    <r>
      <rPr>
        <sz val="11"/>
        <color rgb="FF000000"/>
        <rFont val="宋体"/>
        <charset val="134"/>
      </rPr>
      <t>無</t>
    </r>
    <r>
      <rPr>
        <sz val="11"/>
        <color rgb="FF000000"/>
        <rFont val="Calibri"/>
        <charset val="134"/>
      </rPr>
      <t>Serration)</t>
    </r>
  </si>
  <si>
    <t>NV156QUM-N51-3940</t>
  </si>
  <si>
    <t>345.6</t>
  </si>
  <si>
    <t>194.4</t>
  </si>
  <si>
    <t>JS868K</t>
  </si>
  <si>
    <t>NV173FHM-N46-3RA0</t>
  </si>
  <si>
    <t>381.89</t>
  </si>
  <si>
    <t>214.81</t>
  </si>
  <si>
    <r>
      <rPr>
        <sz val="11"/>
        <color rgb="FF000000"/>
        <rFont val="Calibri"/>
        <charset val="134"/>
      </rPr>
      <t>3806(S-</t>
    </r>
    <r>
      <rPr>
        <sz val="11"/>
        <color rgb="FF000000"/>
        <rFont val="宋体"/>
        <charset val="134"/>
      </rPr>
      <t>展晶</t>
    </r>
    <r>
      <rPr>
        <sz val="11"/>
        <color rgb="FF000000"/>
        <rFont val="Calibri"/>
        <charset val="134"/>
      </rPr>
      <t>)-3.0V MAX-</t>
    </r>
    <r>
      <rPr>
        <sz val="11"/>
        <color rgb="FF000000"/>
        <rFont val="宋体"/>
        <charset val="134"/>
      </rPr>
      <t>無</t>
    </r>
    <r>
      <rPr>
        <sz val="11"/>
        <color rgb="FF000000"/>
        <rFont val="Calibri"/>
        <charset val="134"/>
      </rPr>
      <t>Zener</t>
    </r>
  </si>
  <si>
    <t>AOS-C7B/AOS-C7B</t>
  </si>
  <si>
    <t>CH27NH</t>
  </si>
  <si>
    <t>NE133FHM-N56-3RA0</t>
  </si>
  <si>
    <t>293.76</t>
  </si>
  <si>
    <t>165.24</t>
  </si>
  <si>
    <t>NE133FHM-N42-3940</t>
  </si>
  <si>
    <t>NE173QUM-N42-5940</t>
  </si>
  <si>
    <t xml:space="preserve">Adobe 100 % (CIE1931 xy) ,95%Min 
</t>
  </si>
  <si>
    <r>
      <rPr>
        <sz val="11"/>
        <color rgb="FF000000"/>
        <rFont val="Calibri"/>
        <charset val="134"/>
      </rPr>
      <t>4206</t>
    </r>
    <r>
      <rPr>
        <sz val="11"/>
        <color rgb="FF000000"/>
        <rFont val="宋体"/>
        <charset val="134"/>
      </rPr>
      <t>（</t>
    </r>
    <r>
      <rPr>
        <sz val="11"/>
        <color rgb="FF000000"/>
        <rFont val="Calibri"/>
        <charset val="134"/>
      </rPr>
      <t>RG529)</t>
    </r>
  </si>
  <si>
    <t>HZS507/HS507E</t>
  </si>
  <si>
    <t>华为</t>
  </si>
  <si>
    <t>TV130WTM-NH0-5RA0</t>
  </si>
  <si>
    <t xml:space="preserve">70.8%NTSC </t>
  </si>
  <si>
    <r>
      <rPr>
        <b/>
        <sz val="11"/>
        <color rgb="FF000000"/>
        <rFont val="Calibri"/>
        <charset val="134"/>
      </rPr>
      <t>2K</t>
    </r>
    <r>
      <rPr>
        <b/>
        <sz val="11"/>
        <color rgb="FF000000"/>
        <rFont val="宋体"/>
        <charset val="134"/>
      </rPr>
      <t>（</t>
    </r>
    <r>
      <rPr>
        <b/>
        <sz val="11"/>
        <color rgb="FF000000"/>
        <rFont val="Calibri"/>
        <charset val="134"/>
      </rPr>
      <t>2160*1440</t>
    </r>
    <r>
      <rPr>
        <b/>
        <sz val="11"/>
        <color rgb="FF000000"/>
        <rFont val="宋体"/>
        <charset val="134"/>
      </rPr>
      <t>）</t>
    </r>
  </si>
  <si>
    <t>274.75</t>
  </si>
  <si>
    <t>183.17</t>
  </si>
  <si>
    <t>3806(YAG)</t>
  </si>
  <si>
    <t>隆达</t>
  </si>
  <si>
    <r>
      <rPr>
        <sz val="11"/>
        <color rgb="FF000000"/>
        <rFont val="Calibri"/>
        <charset val="134"/>
      </rPr>
      <t>3806(New YAG-</t>
    </r>
    <r>
      <rPr>
        <sz val="11"/>
        <color rgb="FF000000"/>
        <rFont val="宋体"/>
        <charset val="134"/>
      </rPr>
      <t>隆達</t>
    </r>
    <r>
      <rPr>
        <sz val="11"/>
        <color rgb="FF000000"/>
        <rFont val="Calibri"/>
        <charset val="134"/>
      </rPr>
      <t>)-</t>
    </r>
    <r>
      <rPr>
        <sz val="11"/>
        <color rgb="FF000000"/>
        <rFont val="宋体"/>
        <charset val="134"/>
      </rPr>
      <t>無</t>
    </r>
    <r>
      <rPr>
        <sz val="11"/>
        <color rgb="FF000000"/>
        <rFont val="Calibri"/>
        <charset val="134"/>
      </rPr>
      <t>Zener</t>
    </r>
  </si>
  <si>
    <t>PBS670HG</t>
  </si>
  <si>
    <t>灯条FPC固定在U折下表面</t>
  </si>
  <si>
    <t>TV140WTM-NH0-5RA0</t>
  </si>
  <si>
    <t>295.812</t>
  </si>
  <si>
    <t>197.208</t>
  </si>
  <si>
    <t>HLS505-03/HLS505-03</t>
  </si>
  <si>
    <r>
      <rPr>
        <b/>
        <sz val="11"/>
        <color rgb="FF000000"/>
        <rFont val="Calibri"/>
        <charset val="134"/>
      </rPr>
      <t xml:space="preserve">15.6 </t>
    </r>
    <r>
      <rPr>
        <b/>
        <sz val="11"/>
        <color rgb="FF000000"/>
        <rFont val="宋体"/>
        <charset val="134"/>
      </rPr>
      <t>防蓝光</t>
    </r>
  </si>
  <si>
    <t xml:space="preserve">ADS </t>
  </si>
  <si>
    <t>EN</t>
  </si>
  <si>
    <t>微软(B8)</t>
  </si>
  <si>
    <t>NV105WAM-N31-D7B1</t>
  </si>
  <si>
    <t>WAD</t>
  </si>
  <si>
    <t>XLAS131WJM7(21V)</t>
  </si>
  <si>
    <t>CH195NU</t>
  </si>
  <si>
    <t>N/A</t>
  </si>
  <si>
    <t>TBG</t>
  </si>
  <si>
    <t>NV133WUM-T00-3RA0</t>
  </si>
  <si>
    <t>FHD+</t>
  </si>
  <si>
    <t>3006(KSF+β-sailon(540)-展晶)-2.9V MAX-無Zener</t>
  </si>
  <si>
    <t>G504K_B/G504K_B</t>
  </si>
  <si>
    <r>
      <rPr>
        <sz val="11"/>
        <color rgb="FF000000"/>
        <rFont val="宋体"/>
        <charset val="134"/>
      </rPr>
      <t>低蓝光</t>
    </r>
    <r>
      <rPr>
        <sz val="11"/>
        <color rgb="FF000000"/>
        <rFont val="Arial"/>
        <charset val="134"/>
      </rPr>
      <t>BENT</t>
    </r>
    <r>
      <rPr>
        <sz val="11"/>
        <color rgb="FF000000"/>
        <rFont val="宋体"/>
        <charset val="134"/>
      </rPr>
      <t>项目</t>
    </r>
  </si>
  <si>
    <t>NV133WUM-N61-3RA0</t>
  </si>
  <si>
    <r>
      <rPr>
        <sz val="11"/>
        <color rgb="FF000000"/>
        <rFont val="Calibri"/>
        <charset val="134"/>
      </rPr>
      <t>3006(KSF+β-sailon(540)-</t>
    </r>
    <r>
      <rPr>
        <sz val="11"/>
        <color rgb="FF000000"/>
        <rFont val="宋体"/>
        <charset val="134"/>
      </rPr>
      <t>盈碩</t>
    </r>
    <r>
      <rPr>
        <sz val="11"/>
        <color rgb="FF000000"/>
        <rFont val="Calibri"/>
        <charset val="134"/>
      </rPr>
      <t>)-2.9V MAX-</t>
    </r>
    <r>
      <rPr>
        <sz val="11"/>
        <color rgb="FF000000"/>
        <rFont val="宋体"/>
        <charset val="134"/>
      </rPr>
      <t>無</t>
    </r>
    <r>
      <rPr>
        <sz val="11"/>
        <color rgb="FF000000"/>
        <rFont val="Calibri"/>
        <charset val="134"/>
      </rPr>
      <t>Zener</t>
    </r>
  </si>
  <si>
    <t>否(LB與LGP固定)</t>
  </si>
  <si>
    <r>
      <rPr>
        <sz val="11"/>
        <color rgb="FF000000"/>
        <rFont val="Arial"/>
        <charset val="134"/>
      </rPr>
      <t>BENT</t>
    </r>
    <r>
      <rPr>
        <sz val="11"/>
        <color rgb="FF000000"/>
        <rFont val="宋体"/>
        <charset val="134"/>
      </rPr>
      <t>项目</t>
    </r>
  </si>
  <si>
    <t>NV133WUM-N60-3940</t>
  </si>
  <si>
    <t>3006(KSF+β-sailon(540)-日亞)-無Zener</t>
  </si>
  <si>
    <r>
      <rPr>
        <sz val="11"/>
        <color rgb="FF000000"/>
        <rFont val="宋体"/>
        <charset val="134"/>
      </rPr>
      <t>低蓝光</t>
    </r>
    <r>
      <rPr>
        <sz val="11"/>
        <color rgb="FF000000"/>
        <rFont val="Arial"/>
        <charset val="134"/>
      </rPr>
      <t>FLAT</t>
    </r>
    <r>
      <rPr>
        <sz val="11"/>
        <color rgb="FF000000"/>
        <rFont val="宋体"/>
        <charset val="134"/>
      </rPr>
      <t>项目</t>
    </r>
  </si>
  <si>
    <t>17.3 FHD HADS
(N41) Normal</t>
  </si>
  <si>
    <t>供應商</t>
  </si>
  <si>
    <t>型號</t>
  </si>
  <si>
    <t>厚度（mm）</t>
  </si>
  <si>
    <t>抗Sparkling</t>
  </si>
  <si>
    <t>霧度</t>
  </si>
  <si>
    <t>透過率</t>
  </si>
  <si>
    <t>亮度增益</t>
  </si>
  <si>
    <t>膜片增益</t>
  </si>
  <si>
    <t>供货能力</t>
  </si>
  <si>
    <t>品质能力</t>
  </si>
  <si>
    <t>廠家聯繫方式</t>
  </si>
  <si>
    <t>是否量產應用</t>
  </si>
  <si>
    <t>SKC</t>
  </si>
  <si>
    <t>JS150HH</t>
  </si>
  <si>
    <t>差</t>
  </si>
  <si>
    <t>56.3%/56.5%</t>
  </si>
  <si>
    <t>91.9%/92%</t>
  </si>
  <si>
    <t>无报价</t>
  </si>
  <si>
    <t>郑文学
15895551819
zheng1@sk.com
李郑养
13826596138
lizy@xan-e.com</t>
  </si>
  <si>
    <t>雾度和透过率有两个值，分别对应于光线从正面和背面入射/切换至JS560HK</t>
  </si>
  <si>
    <t>中</t>
  </si>
  <si>
    <t>60.3%/56.5%</t>
  </si>
  <si>
    <t>91.5%/92%</t>
  </si>
  <si>
    <t>JS358HH</t>
  </si>
  <si>
    <t>JS562HK(掉粒子)</t>
  </si>
  <si>
    <t>60%/62.2%</t>
  </si>
  <si>
    <t>94.2%/94.5%</t>
  </si>
  <si>
    <t>优</t>
  </si>
  <si>
    <t>抗Sparkling效果最佳</t>
  </si>
  <si>
    <t>JS968HK</t>
  </si>
  <si>
    <t>惠和</t>
  </si>
  <si>
    <t>PBS600B</t>
  </si>
  <si>
    <t>FDH：原材敏感，原材吸附性强，易脏污，易划伤</t>
  </si>
  <si>
    <t>CT：脏污70%
FDH：原材敏感，原材吸附性强，易脏污，易划伤</t>
  </si>
  <si>
    <t>激智</t>
  </si>
  <si>
    <t>T75VP-B</t>
  </si>
  <si>
    <t>T100VP-B</t>
  </si>
  <si>
    <t>考量因素</t>
  </si>
  <si>
    <t>1.為防止漏光，4 sheets架構時上擴散四周黑邊印刷，印刷材料為黑色油墨。
2.選型上擴前，根據客戶對sparking 的要求，選擇合適的型號，特別是高解析度和沒有APF Pol 的產品。</t>
  </si>
  <si>
    <t>推荐增益(Min)</t>
  </si>
  <si>
    <t>推荐厚度(Max)</t>
  </si>
  <si>
    <t>型號搭配</t>
  </si>
  <si>
    <t>是否需搭配上擴散</t>
  </si>
  <si>
    <t>相对亮度增益衰减APF Pol下</t>
  </si>
  <si>
    <t>去除標準上擴JS560HK的影響</t>
  </si>
  <si>
    <t>总厚度</t>
  </si>
  <si>
    <t>上Lens</t>
  </si>
  <si>
    <t>上Lens背塗</t>
  </si>
  <si>
    <t>上Lens Pitch</t>
  </si>
  <si>
    <t>上Lens 厚度</t>
  </si>
  <si>
    <t>下Lens</t>
  </si>
  <si>
    <t>下Lens背塗</t>
  </si>
  <si>
    <t>下Lens Pitch</t>
  </si>
  <si>
    <t>下Lens 厚度</t>
  </si>
  <si>
    <t>相對色偏Wx</t>
  </si>
  <si>
    <t>相對色偏Wy</t>
  </si>
  <si>
    <t>remark</t>
  </si>
  <si>
    <t>是否量产</t>
  </si>
  <si>
    <t>单棱镜</t>
  </si>
  <si>
    <t>普通增益＜5Pa</t>
  </si>
  <si>
    <t>LGC</t>
  </si>
  <si>
    <t>标准膜材</t>
  </si>
  <si>
    <t>SOS-Y5G</t>
  </si>
  <si>
    <t>AOS-C7B</t>
  </si>
  <si>
    <t>搭配APF有吸附风险</t>
  </si>
  <si>
    <t>AOS-C7B/HBS-S3A</t>
  </si>
  <si>
    <t>HBS-S3A</t>
  </si>
  <si>
    <t>搭配APF有吸附风险，HBS-S3A近三年无使用记录</t>
  </si>
  <si>
    <t>KBED-160R1/KBED-160R1</t>
  </si>
  <si>
    <t>KDX</t>
  </si>
  <si>
    <t>KBED-160R1</t>
  </si>
  <si>
    <t>谨慎用于APF pol模组</t>
  </si>
  <si>
    <t>KBCO-160R</t>
  </si>
  <si>
    <t>KBED-220R/KBED-160R1</t>
  </si>
  <si>
    <t>KBED-220R</t>
  </si>
  <si>
    <t>KBFN-160R/KBCO-160R</t>
  </si>
  <si>
    <t>KBFN-160R</t>
  </si>
  <si>
    <t>新产品暂停选型
谨慎用于APF pol模组</t>
  </si>
  <si>
    <t>KBCA-160RB/KBCO-160RB</t>
  </si>
  <si>
    <t>KBCA-160RB</t>
  </si>
  <si>
    <t>KBCO-160RB</t>
  </si>
  <si>
    <t>新产品</t>
  </si>
  <si>
    <t>HLS504-03</t>
  </si>
  <si>
    <t>HS504E</t>
  </si>
  <si>
    <r>
      <rPr>
        <sz val="11"/>
        <rFont val="微软雅黑"/>
        <charset val="134"/>
      </rPr>
      <t xml:space="preserve">该组配在TV140WTM-NH0项目上出现“水污渍（下棱和下扩之间）”问题，背板开口后下棱吸水造成，下棱变更为上棱型号可解；
</t>
    </r>
    <r>
      <rPr>
        <b/>
        <sz val="11"/>
        <rFont val="微软雅黑"/>
        <charset val="134"/>
      </rPr>
      <t>背板开孔和镂空背板禁止选型</t>
    </r>
  </si>
  <si>
    <t>HLS505-03</t>
  </si>
  <si>
    <t>HS505E</t>
  </si>
  <si>
    <t>SPX8-5NFT/SPX8-5NF0</t>
  </si>
  <si>
    <t>晟华</t>
  </si>
  <si>
    <t>SPX8-5NFT</t>
  </si>
  <si>
    <t>SPX8-5NF0</t>
  </si>
  <si>
    <t>近一年无使用记录</t>
  </si>
  <si>
    <t>SPX8-5RF3/SPX8-5RF0</t>
  </si>
  <si>
    <t>SPX8-5RF3</t>
  </si>
  <si>
    <t>SPX8-5RF0</t>
  </si>
  <si>
    <t>验证使用非APF 模组，谨慎用于APF模组</t>
  </si>
  <si>
    <t>中等增益≥5Pa
&amp;
≤10Pa</t>
  </si>
  <si>
    <t>AOS-C5BA/SOS-Y5G</t>
  </si>
  <si>
    <t>AOS-C5BA</t>
  </si>
  <si>
    <t>GAS245A/HS505E</t>
  </si>
  <si>
    <t>GAS245A</t>
  </si>
  <si>
    <t>HZS507</t>
  </si>
  <si>
    <t>HS507E</t>
  </si>
  <si>
    <t>NB常加上扩使用，
不加上扩无量产实绩，谨慎用于APF pol模组</t>
  </si>
  <si>
    <t>HS505E/H504C</t>
  </si>
  <si>
    <t>H504C</t>
  </si>
  <si>
    <t>TH724/KH750</t>
  </si>
  <si>
    <t>光志</t>
  </si>
  <si>
    <t>TH724</t>
  </si>
  <si>
    <t>KH750</t>
  </si>
  <si>
    <t>TH750L/KH750</t>
  </si>
  <si>
    <t>TH750L</t>
  </si>
  <si>
    <t>SPX8-4QFT/SPX8-4QF0</t>
  </si>
  <si>
    <t>SPX8-4QFT</t>
  </si>
  <si>
    <t>SPX8-4QF0</t>
  </si>
  <si>
    <t>高增益＞10Pa</t>
  </si>
  <si>
    <t>HN243lv4/G504K_B</t>
  </si>
  <si>
    <t>HN243lv4</t>
  </si>
  <si>
    <t>G504K_B</t>
  </si>
  <si>
    <t>APF pol项目验证通过</t>
  </si>
  <si>
    <t>该组配在模组增益降低3%-6%问题</t>
  </si>
  <si>
    <t>GC503K_B/GC503K_B</t>
  </si>
  <si>
    <t>GC503K_B</t>
  </si>
  <si>
    <t>G505K-B/G505K-B(抗刮NG)</t>
  </si>
  <si>
    <t>G505K-B</t>
  </si>
  <si>
    <t>HLAS4.50WJ/HLAS4.50WJ</t>
  </si>
  <si>
    <t>LMS</t>
  </si>
  <si>
    <t>HLAS4.50WJ</t>
  </si>
  <si>
    <t>HLAS I05WJ/HLAS I05WJ</t>
  </si>
  <si>
    <t>HLAS I05WJ</t>
  </si>
  <si>
    <t>SPX8-4UFT/SPX8-4UF0</t>
  </si>
  <si>
    <t>SPX8-4UFT</t>
  </si>
  <si>
    <t>SPX8-4UF0</t>
  </si>
  <si>
    <t>复合棱镜</t>
  </si>
  <si>
    <t>XLAS131WJM7(21V)(抗刮NG)</t>
  </si>
  <si>
    <t>PoP产品，抗刮NG，暂停选型</t>
  </si>
  <si>
    <t>PoP产品</t>
  </si>
  <si>
    <t>AMS-PP23H</t>
  </si>
  <si>
    <t>PoP产品，近三年无使用记录</t>
  </si>
  <si>
    <t>AMS-PP23H（P25M）</t>
  </si>
  <si>
    <t>KPOP-185HC</t>
  </si>
  <si>
    <t>HJB5022I-3</t>
  </si>
  <si>
    <t>PoP产品
量产后亮度偏低，测试管控最低增益样品
搭配APF Pol存在吸附风险</t>
  </si>
  <si>
    <t>DIA-E180A</t>
  </si>
  <si>
    <t>常宝</t>
  </si>
  <si>
    <t>PoP产品，新产品</t>
  </si>
  <si>
    <t>中等增益≥5Pa
&amp;≤10Pa</t>
  </si>
  <si>
    <t>1. KDX KBFM按規格書定義,具有通過棱脊波浪處理防吸附的效果,但是在N49專案上,由於供應商私下改動UV固化能量造成吸附問題; 
2. 光耀KL66和KL77產品在(HP)N43專案上驗證出現刮傷問題,光耀其他產品也出現過刮傷問題; 
3. (HP)173. HD專案震動實驗中THBS-U7A下棱刮傷,出現白斑; 
4. 13.3 FHD A43專案中使用HS504,出現吸附問題; 
5. 停用KDX四款棱鏡組合:上棱KBCO-220N/下棱KBCO-220N、上棱KBEO-160R/下棱KBEO-160R、上棱KBBO-125N/下棱KBBO-125N、上棱KBUO-125N/下棱KBBO-125N。 在133DELL Keystone、12.5FH DELL、18.4UHD ASUS、125FHD-DELL、14.0UHD HP專案上出現過上下棱鏡吸附的現象。 以後KDX的棱鏡片組合中,不建議使用型號中結尾都是"O"的上下棱鏡搭配使用。 LGE:上棱鏡THBS-U7A/下棱鏡THBS-U7A已停產,已停用。 
6. LGE型號AOS-C5BA搭配APF pol有吸附風險。 
7. Soulbrain LF2-GBM-PTA160-B21搭配APF有吸附,可用LF2-GBM-PTA160-D21代替(LF2-GBM-PTA160-D21待驗證完成後加入量產庫)。 
8. LGE SOS-Y5L型號上棱鏡片已停產,停用上棱SOS-Y5L/下棱SOS-Y5G組合。</t>
  </si>
  <si>
    <t>申雄浩
15867112733
xionghao.shen@lge.com</t>
  </si>
  <si>
    <t>陆梦云
13776127098
sophia_lu@ubright.com.tw</t>
  </si>
  <si>
    <t>韩彪
+82-103879-1881
bhan@soulbrain.co.kr</t>
  </si>
  <si>
    <t>(合肥)李南德
13912767310
durinuri@lmsglobal.com
(重庆)申东训
13776141198
dong242@lmsglobal.com</t>
  </si>
  <si>
    <t>吴正波
13776001828
wuzb@kdxfilm.com</t>
  </si>
  <si>
    <t>苏建刚
13913157882
jsu4@mmm.com</t>
  </si>
  <si>
    <t>林莹
18122888599
queeney@guangzhi-opto.com</t>
  </si>
  <si>
    <t>张威
18610300957
zhangwei@bksck.com</t>
  </si>
  <si>
    <t>郑文学
15895551819
zheng1@sk.com</t>
  </si>
  <si>
    <t>“NU”使用PU材质粒子（弹性好），落球震动效果较好</t>
  </si>
  <si>
    <t>CH19NH</t>
  </si>
  <si>
    <t>“NH”使用Nylon粒子/
切换至CH19NU</t>
  </si>
  <si>
    <t>0.9788</t>
  </si>
  <si>
    <t>CH19-I</t>
  </si>
  <si>
    <t>91.9%</t>
  </si>
  <si>
    <t>重庆</t>
  </si>
  <si>
    <t>B100S4</t>
  </si>
  <si>
    <t>卢俊华
18351622010
bingo@excitontech.cn</t>
  </si>
  <si>
    <t>老款</t>
  </si>
  <si>
    <t>B100S4-B</t>
  </si>
  <si>
    <t>在B100S4基础上增加PU粒子
背涂，产品更光滑，对导光板刮伤小</t>
  </si>
  <si>
    <t>B100T</t>
  </si>
  <si>
    <t>低成本，用于对信赖性没有
太多要求的维修品</t>
  </si>
  <si>
    <t>B75VB</t>
  </si>
  <si>
    <t>使用Nylon粒子；高亮度增益
有掉粒子风险</t>
  </si>
  <si>
    <t>—</t>
  </si>
  <si>
    <t>B75VM</t>
  </si>
  <si>
    <t>B75VU</t>
  </si>
  <si>
    <t>B75 VU以及B100VU使用PU
型弹性更好的粒子取代原来
的nylon粒子，信赖性更好</t>
  </si>
  <si>
    <t>B50VU</t>
  </si>
  <si>
    <t>扬昕</t>
  </si>
  <si>
    <t>UH075A</t>
  </si>
  <si>
    <t>姚芳
13915575944
pamela.yao@nano-precision.com</t>
  </si>
  <si>
    <t>结构性下扩，优先搭载白反和高增益棱镜；
搭配低增益棱镜时会增益减少5%；</t>
  </si>
  <si>
    <t>乐凯</t>
  </si>
  <si>
    <t>祁林旺
15556054677
15556054677@163.com</t>
  </si>
  <si>
    <t>1.在滿足厚度Spec前提下，優先選擇厚型下擴散片，信賴性特性更優；
2.選定Diffuser Down 型號前確認其 Beads 參數，是否 Anti-Scratch，抗小球跌落，目前SKC 以NU系列；
3.優選靜電常數小的材料，防止白點；
4. 4 sheets架構時上擴散四周黑邊印刷，印刷材料為黑色油墨。</t>
  </si>
  <si>
    <t>問題履歷</t>
  </si>
  <si>
    <t>1.B100S4產品在（HP）N43項目上出現scuff白斑問題，解析結果為粒子過硬，變更為使用PU彈性粒子的B100VU；
2.B100S4、B75VB分別在（HP）N31、N35項目上出現掉粒子問題，可替換選用B100VU、B75VM；</t>
  </si>
  <si>
    <t>反射率</t>
  </si>
  <si>
    <t>密度</t>
  </si>
  <si>
    <t>規格書</t>
  </si>
  <si>
    <t>Lumirex II-R20-100(发黄)</t>
  </si>
  <si>
    <t>原材日本生产</t>
  </si>
  <si>
    <r>
      <rPr>
        <sz val="11"/>
        <color theme="1"/>
        <rFont val="微软雅黑"/>
        <charset val="134"/>
      </rPr>
      <t xml:space="preserve">俞斌
18621852967
</t>
    </r>
    <r>
      <rPr>
        <u/>
        <sz val="11"/>
        <color theme="1"/>
        <rFont val="微软雅黑"/>
        <charset val="134"/>
      </rPr>
      <t>yu.bin@mg.mpi.co.jp</t>
    </r>
  </si>
  <si>
    <t>1.R20-100、R20-150反射片须搭配全背板。如搭配镂空背板容易被氧化,发黄</t>
  </si>
  <si>
    <t>Lumirex II-R20V2-100</t>
  </si>
  <si>
    <t>Lumirex II-R20-150(发黄)</t>
  </si>
  <si>
    <t>Lumirex II-R20V2-150</t>
  </si>
  <si>
    <t xml:space="preserve">1.最常使用，性能稳定
2.反射率数据为550nm相对值，相对于积分球的标准片反射
3.亮度增益仅供参考！
</t>
  </si>
  <si>
    <t>Lumirex II-M20-225</t>
  </si>
  <si>
    <t>长阳</t>
  </si>
  <si>
    <t>SDM-150</t>
  </si>
  <si>
    <t>国产成本低，供应好，建议使用</t>
  </si>
  <si>
    <t>呂力
18606609161
Leo.lv@solartrontech.com</t>
  </si>
  <si>
    <t>SDM-150为SD-150的升级版；
测试标准：GB/T 3979-2008</t>
  </si>
  <si>
    <t>SDM-188</t>
  </si>
  <si>
    <t>FDX100BS</t>
  </si>
  <si>
    <t>FDX150BS</t>
  </si>
  <si>
    <t>FDX188BS</t>
  </si>
  <si>
    <t>3M</t>
  </si>
  <si>
    <t>3M-ESR-100</t>
  </si>
  <si>
    <t>兰埔成</t>
  </si>
  <si>
    <t>1.在滿足厚度Spec前提下，優先選擇厚型反射片，信賴性特性更優；
2.優選靜電常數小的材料，防止白點；
3.不同加反射率資料不能直接對比。</t>
  </si>
  <si>
    <t>材料更新記錄</t>
  </si>
  <si>
    <t>1. 東麗E82C-150已停產，已經刪除</t>
  </si>
  <si>
    <t>LED型號</t>
  </si>
  <si>
    <t>電流(mA)(保證壽命)</t>
  </si>
  <si>
    <t>規格書電壓(V)</t>
  </si>
  <si>
    <t>LED缩写</t>
  </si>
  <si>
    <t>亮度檔 typ</t>
  </si>
  <si>
    <t>機差數據(Lm)</t>
  </si>
  <si>
    <t>發光角度（°）</t>
  </si>
  <si>
    <t>螢光波長</t>
  </si>
  <si>
    <t>晶片</t>
  </si>
  <si>
    <t>已在NB量產專案中應用或驗證通過</t>
  </si>
  <si>
    <t>量產條件</t>
  </si>
  <si>
    <t>供應週期</t>
  </si>
  <si>
    <t>專利情況
（可分全球含日本、全球不含日本、無專利）</t>
  </si>
  <si>
    <t>備註</t>
  </si>
  <si>
    <t>長</t>
  </si>
  <si>
    <t>寬</t>
  </si>
  <si>
    <t>範圍</t>
  </si>
  <si>
    <t>MAX (@20mA)</t>
  </si>
  <si>
    <t>光強(mcd)</t>
  </si>
  <si>
    <t>對應的光通量(lm)</t>
  </si>
  <si>
    <t>供應商-BOE</t>
  </si>
  <si>
    <t>X</t>
  </si>
  <si>
    <t>Y</t>
  </si>
  <si>
    <t>綠光</t>
  </si>
  <si>
    <t>黃光</t>
  </si>
  <si>
    <t>紅光</t>
  </si>
  <si>
    <t>晶片數量(1in1/2in1)</t>
  </si>
  <si>
    <t>芯片尺寸</t>
  </si>
  <si>
    <t>晶片廠家</t>
  </si>
  <si>
    <t>晶片波長(nm)</t>
  </si>
  <si>
    <t>單一色塊的晶片波長範圍</t>
  </si>
  <si>
    <t>亮度檔數量</t>
  </si>
  <si>
    <t>色塊數量（以最小色塊劃分為准）</t>
  </si>
  <si>
    <t>供应商名称：Nichia（日亚）
郭世强
18681437806
francis.kuo@nichia.com.tw</t>
  </si>
  <si>
    <t>3006(KSF+β-sailon(529)-日亞)-無Zener</t>
  </si>
  <si>
    <t>≤25</t>
  </si>
  <si>
    <t>3006(KSF+β-sailon(529))-無Zener</t>
  </si>
  <si>
    <t>2100-2700</t>
  </si>
  <si>
    <t>6.25-8.25</t>
  </si>
  <si>
    <t>——</t>
  </si>
  <si>
    <t>G529</t>
  </si>
  <si>
    <t>R630</t>
  </si>
  <si>
    <t>1in1</t>
  </si>
  <si>
    <t>日亞</t>
  </si>
  <si>
    <t>446~454</t>
  </si>
  <si>
    <t>量產</t>
  </si>
  <si>
    <t>≥3</t>
  </si>
  <si>
    <t>≥18</t>
  </si>
  <si>
    <t>3006(KSF+β-sailon(540))-無Zener</t>
  </si>
  <si>
    <t>2400-3100</t>
  </si>
  <si>
    <t>7.25-9.5</t>
  </si>
  <si>
    <t>G540</t>
  </si>
  <si>
    <t>3804(KSF+β-sailon(540)-日亞)-無Zener</t>
  </si>
  <si>
    <t>3804(KSF+β-sailon(540))-無Zener</t>
  </si>
  <si>
    <t>4000-4800</t>
  </si>
  <si>
    <t>12.0-14.5</t>
  </si>
  <si>
    <t>2in1</t>
  </si>
  <si>
    <t>3105(KSF+β-sailon(540)-日亞)-無Zener</t>
  </si>
  <si>
    <t>≤30</t>
  </si>
  <si>
    <t>3105(KSF+β-sailon(540))-無Zener</t>
  </si>
  <si>
    <t>5775-6825</t>
  </si>
  <si>
    <t>16.5-19.5</t>
  </si>
  <si>
    <t>R631</t>
  </si>
  <si>
    <t>448~452</t>
  </si>
  <si>
    <t>≥4</t>
  </si>
  <si>
    <t>4206(KSF+β-sailon(529)-日亞)-無Zener</t>
  </si>
  <si>
    <t>4206(KSF+β-sailon(529))-無Zener</t>
  </si>
  <si>
    <t>449~451</t>
  </si>
  <si>
    <t>4206(KSF+β-sailon(540)-日亞)-無Zener</t>
  </si>
  <si>
    <t>4206(KSF+β-sailon(540))-無Zener</t>
  </si>
  <si>
    <t>4725~6475</t>
  </si>
  <si>
    <t>13.5~18.5</t>
  </si>
  <si>
    <t>3006(KSF+β-sailon(535)-日亞)-無Zener</t>
  </si>
  <si>
    <t>3006(KSF+β-sailon(535))-無Zener</t>
  </si>
  <si>
    <t>2400-2900</t>
  </si>
  <si>
    <t>7.25-9.0</t>
  </si>
  <si>
    <t>G535</t>
  </si>
  <si>
    <t>3006(KSF+β-sailon(540)-日亞)-無Zener-低蓝光</t>
  </si>
  <si>
    <t>3006(KSF+β-sailon(540))-無Zener-低蓝光</t>
  </si>
  <si>
    <t>2800~3412</t>
  </si>
  <si>
    <t>8.0~9.75</t>
  </si>
  <si>
    <t>NA</t>
  </si>
  <si>
    <t>Wp452~460</t>
  </si>
  <si>
    <t>3105(KSF+β-sailon(540)-日亞)-無Zener-低蓝光</t>
  </si>
  <si>
    <t>3105(KSF+β-sailon(540))-無Zener-低蓝光</t>
  </si>
  <si>
    <t>5775~6825</t>
  </si>
  <si>
    <t>16.0~19.5</t>
  </si>
  <si>
    <t>Wp453~456</t>
  </si>
  <si>
    <t>4206(KSF+β-sailon(540)-日亞)-無Zener-低蓝光</t>
  </si>
  <si>
    <t>4206(KSF+β-sailon(540))-無Zener-低蓝光</t>
  </si>
  <si>
    <t>供應商名稱：INSOAR（盈碩）
侯聚磊
13306261716
houjulei@insoar.com</t>
  </si>
  <si>
    <t>3006(KSF+β-sailon(540)-盈碩)-2.9V MAX-無Zener</t>
  </si>
  <si>
    <t>较好</t>
  </si>
  <si>
    <t>2850-3250</t>
  </si>
  <si>
    <t>8-9.1</t>
  </si>
  <si>
    <t>三安</t>
  </si>
  <si>
    <t>445-455</t>
  </si>
  <si>
    <t>廠內有庫存：1周左右
廠內無庫存：預計3周</t>
  </si>
  <si>
    <t>全球含日本(出日本需使用專用的晶片）</t>
  </si>
  <si>
    <t>有兩種尺寸的晶片：
8×40/10×43，
高色域對應晶片尺寸較大</t>
  </si>
  <si>
    <t>盈碩</t>
  </si>
  <si>
    <t>3806(S-盈碩)-2.9V MAX-無Zener</t>
  </si>
  <si>
    <t>3806(S)-無Zener</t>
  </si>
  <si>
    <t>2860-3280</t>
  </si>
  <si>
    <t>8.1-9.3</t>
  </si>
  <si>
    <t>Y565</t>
  </si>
  <si>
    <t>晶元</t>
  </si>
  <si>
    <t>450-455</t>
  </si>
  <si>
    <t>3806(S-盈碩)-3.0V MAX-無Zener</t>
  </si>
  <si>
    <t>3806(Gal+Nitride -盈碩)-2.9V MAX-無Zener</t>
  </si>
  <si>
    <t>3806(Gal+Nitride)-無Zener</t>
  </si>
  <si>
    <t>2790-3100</t>
  </si>
  <si>
    <t>？</t>
  </si>
  <si>
    <t>3806(Gal+Nitride -盈碩)-3.0V MAX-無Zener</t>
  </si>
  <si>
    <t>7.9-8.8</t>
  </si>
  <si>
    <t>3006(YAG-盈碩)-2.9V MAX-無Zener</t>
  </si>
  <si>
    <t>3006(YAG)-無Zener</t>
  </si>
  <si>
    <t>2750-3450</t>
  </si>
  <si>
    <t>7.8-9.9</t>
  </si>
  <si>
    <t>Y558</t>
  </si>
  <si>
    <t>3806(YAG-盈碩)-2.9V MAX-無Zener</t>
  </si>
  <si>
    <t>3806(YAG)-無Zener</t>
  </si>
  <si>
    <t>8.4-9.3</t>
  </si>
  <si>
    <t>Y566</t>
  </si>
  <si>
    <t>驗證通過</t>
  </si>
  <si>
    <t>3006(KSF+G535-盈碩)-3.0V MAX-無Zener</t>
  </si>
  <si>
    <t>3006(KSF+G535)-3.0V MAX-無Zener</t>
  </si>
  <si>
    <t>2550-3250</t>
  </si>
  <si>
    <t>7.50-9.25</t>
  </si>
  <si>
    <t>46*9</t>
  </si>
  <si>
    <t>447.5-452.5</t>
  </si>
  <si>
    <t>3006(KSF+β-sailon(540)-盈碩)-無Zener-低蓝光</t>
  </si>
  <si>
    <t>2750~3350</t>
  </si>
  <si>
    <t>7.8~9.6</t>
  </si>
  <si>
    <t>457.5-462.5</t>
  </si>
  <si>
    <t>3806(S-盈碩)-2.9V MAX-無Zener-低蓝光</t>
  </si>
  <si>
    <t>3806(S)-2.9V MAX-無Zener-低蓝光</t>
  </si>
  <si>
    <t>供應商名稱：AOT（展晶）
黃雄標
15999560658
alex.huang@aot.com.tw</t>
  </si>
  <si>
    <t>3806(S-展晶)-2.9V MAX-無Zener</t>
  </si>
  <si>
    <t>工厂位于台湾，有风险。</t>
  </si>
  <si>
    <t>2800-3300</t>
  </si>
  <si>
    <t>Y560</t>
  </si>
  <si>
    <t>447.5-455</t>
  </si>
  <si>
    <t>廠內有庫存：2周左右
廠內無庫存：預計4周</t>
  </si>
  <si>
    <t>全球含日本</t>
  </si>
  <si>
    <t>展晶</t>
  </si>
  <si>
    <t>3806(S-展晶)-3.0V MAX-無Zener</t>
  </si>
  <si>
    <t>3806(YAG-展晶)-2.9V MAX-無Zener</t>
  </si>
  <si>
    <t>8.5~9.25</t>
  </si>
  <si>
    <t>3806(YAG-展晶)-3.0V MAX-無Zener</t>
  </si>
  <si>
    <t>3806(New YAG-展晶)-2.85V MAX-無Zener</t>
  </si>
  <si>
    <t>3806(New YAG)-無Zener</t>
  </si>
  <si>
    <t>8.25-10</t>
  </si>
  <si>
    <t>Y575.5+Y538</t>
  </si>
  <si>
    <t>8.25~9.75</t>
  </si>
  <si>
    <t>3006(YAG-展晶)-3.0V MAX-無Zener</t>
  </si>
  <si>
    <t>8~9.25</t>
  </si>
  <si>
    <t>450-457.5</t>
  </si>
  <si>
    <t>3006(KSF+β-sailon(540)-展晶)-3.0V MAX-無Zener</t>
  </si>
  <si>
    <t>3006(KSF+β-sailon(540)-展晶)-2.9V MAX-無Zener-低蓝光</t>
  </si>
  <si>
    <t>3006(KSF+β-sailon(540))-2.9V MAX-無Zener-低蓝光</t>
  </si>
  <si>
    <t>2500~3200</t>
  </si>
  <si>
    <t>7.5~9.5</t>
  </si>
  <si>
    <t>华灿</t>
  </si>
  <si>
    <t>Wp453~459</t>
  </si>
  <si>
    <t>供應商名稱：上海弘名（億光代理）
B3  供應商連絡人：高鵬飛
18656966770
pengfei.gao@chsitico.com
B8  供應商連絡人：克雨澤
18580760394
yuze.ke@chsitico.com</t>
  </si>
  <si>
    <t>3006(KSF+β-sailon(540)-億光)-2.85V MAX-無Zener</t>
  </si>
  <si>
    <t>2300~3300</t>
  </si>
  <si>
    <t>6.5-9.25</t>
  </si>
  <si>
    <t>晶元/泰谷</t>
  </si>
  <si>
    <t>445-465</t>
  </si>
  <si>
    <t>≥8</t>
  </si>
  <si>
    <t>亿光</t>
  </si>
  <si>
    <t>3006(KSF+β-sailon(540)-億光)-2.9V MAX-無Zener</t>
  </si>
  <si>
    <t>3806(S-Nitride-億光)-2.9V MAX-無Zener-低蓝光</t>
  </si>
  <si>
    <t>3806(S-Nitride)-2.9V MAX-無Zener-低蓝光</t>
  </si>
  <si>
    <t>2900-3500</t>
  </si>
  <si>
    <t>1Iin1</t>
  </si>
  <si>
    <t>澳洋/泰谷</t>
  </si>
  <si>
    <t>457.5~462.5</t>
  </si>
  <si>
    <t>3806(S-Nitride-億光)-3.0V MAX-無Zener-低蓝光</t>
  </si>
  <si>
    <t>3806(S-Nitride)-3.0V MAX-無Zener-低蓝光</t>
  </si>
  <si>
    <t>3806(S-億光)-2.9V MAX-無Zener</t>
  </si>
  <si>
    <t>2600-3500</t>
  </si>
  <si>
    <t>7.5-9.75</t>
  </si>
  <si>
    <t>Y562</t>
  </si>
  <si>
    <t>445-460</t>
  </si>
  <si>
    <t>3806(S-億光)-3.0V MAX-無Zener</t>
  </si>
  <si>
    <t>3006(S-億光)-2.9V MAX-無Zener</t>
  </si>
  <si>
    <t>3006(S)-無Zener</t>
  </si>
  <si>
    <t>2500-3200</t>
  </si>
  <si>
    <t>7.0-8.75</t>
  </si>
  <si>
    <t>3006(S-億光)-3.0V MAX-無Zener</t>
  </si>
  <si>
    <t>3804(S-億光)-2.9V MAX-無Zener</t>
  </si>
  <si>
    <t>3804(S)-無Zener</t>
  </si>
  <si>
    <t>2500-3300</t>
  </si>
  <si>
    <t>7.0~9.25</t>
  </si>
  <si>
    <t>3804(S-億光)-3.0V MAX-無Zener</t>
  </si>
  <si>
    <t>3806(YAG-億光)-2.9V MAX-無Zener</t>
  </si>
  <si>
    <t>7.0-9.0</t>
  </si>
  <si>
    <t>3806(YAG-億光)-3.0V MAX-無Zener</t>
  </si>
  <si>
    <t>3806(NEW YAG-億光)-2.9V MAX-無Zener</t>
  </si>
  <si>
    <t>3806(NEW YAG)-無Zener</t>
  </si>
  <si>
    <t>2685-3225</t>
  </si>
  <si>
    <t>7.5-9.0</t>
  </si>
  <si>
    <t>Y565+Y567</t>
  </si>
  <si>
    <t>3806(NEW YAG-億光)-3.0V MAX-無Zener</t>
  </si>
  <si>
    <t>3006(YAG-億光)-2.9V MAX-無Zener</t>
  </si>
  <si>
    <t>6.75-8.5</t>
  </si>
  <si>
    <t>3006(YAG-億光)-3.0V MAX-無Zener</t>
  </si>
  <si>
    <t>供應商名稱：聚飛
祝洪濤
13632735224
zhu.hongtao@jfled.com.cn</t>
  </si>
  <si>
    <t>3806(S-聚飛)-2.9V MAX-無Zener</t>
  </si>
  <si>
    <t>2750-4050</t>
  </si>
  <si>
    <t>7.5-10.75</t>
  </si>
  <si>
    <t>流明納斯（三安）</t>
  </si>
  <si>
    <t>晶片尺寸與亮度檔有關，高亮度對應大尺寸晶片。</t>
  </si>
  <si>
    <t>3806(S-聚飛)-3.0V MAX-無Zener</t>
  </si>
  <si>
    <t>3806(Nitrides-聚飛)-2.9V MAX-無Zener</t>
  </si>
  <si>
    <t>3806(Nitrides)-無Zener</t>
  </si>
  <si>
    <t>2950-3550</t>
  </si>
  <si>
    <t>8.0-9.5</t>
  </si>
  <si>
    <t>Y537</t>
  </si>
  <si>
    <t>Y612</t>
  </si>
  <si>
    <t>3006(S-聚飛)-3.0V MAX-無Zener</t>
  </si>
  <si>
    <t>3250-3750</t>
  </si>
  <si>
    <t>8.75-10.00</t>
  </si>
  <si>
    <t>Y550+Y560 或Y560 +Y583</t>
  </si>
  <si>
    <t>457.5-467.5</t>
  </si>
  <si>
    <t>3006(S-聚飛)-3.1V MAX-無Zener</t>
  </si>
  <si>
    <t>3006(S-聚飛)-3.2V MAX-無Zener</t>
  </si>
  <si>
    <t>3006(KSF+β-sailon(540)-聚飛)-2.9V MAX-無Zener</t>
  </si>
  <si>
    <t>3006(KSF+β-sailon(540))-2.9V MAX-無Zener</t>
  </si>
  <si>
    <t>2450-3450</t>
  </si>
  <si>
    <t>7.00-9.5</t>
  </si>
  <si>
    <t>三安/晶元/华灿</t>
  </si>
  <si>
    <t>3006(KSF+β-sailon(540)-聚飛)-3.0V MAX-無Zener</t>
  </si>
  <si>
    <t>3006(KSF+β-sailon(540))-3.0V MAX-無Zener</t>
  </si>
  <si>
    <t>3006(KSF+β-sailon(540)-聚飛)-2.9V MAX-無Zener-低蓝光</t>
  </si>
  <si>
    <t>3450-3450</t>
  </si>
  <si>
    <t>457.5-465nm</t>
  </si>
  <si>
    <t>≥6</t>
  </si>
  <si>
    <r>
      <rPr>
        <sz val="12"/>
        <rFont val="微软雅黑"/>
        <charset val="134"/>
      </rPr>
      <t>供應商名稱：隆達
供應商聯繫人：鄭金華
13812665443</t>
    </r>
    <r>
      <rPr>
        <sz val="12"/>
        <rFont val="新細明體"/>
        <charset val="136"/>
      </rPr>
      <t xml:space="preserve">/ </t>
    </r>
    <r>
      <rPr>
        <sz val="12"/>
        <rFont val="微软雅黑"/>
        <charset val="134"/>
      </rPr>
      <t>andy.zheng@Lextar.com
吳坤華(技術)
13913510992</t>
    </r>
    <r>
      <rPr>
        <sz val="12"/>
        <rFont val="新細明體"/>
        <charset val="136"/>
      </rPr>
      <t xml:space="preserve">/ </t>
    </r>
    <r>
      <rPr>
        <sz val="12"/>
        <rFont val="微软雅黑"/>
        <charset val="134"/>
      </rPr>
      <t>Kh.Wu@Lextar.com</t>
    </r>
  </si>
  <si>
    <t>3806(S-隆達)-2.9V max-有Zener-HF</t>
  </si>
  <si>
    <t>3806(S)-有Zener-HF</t>
  </si>
  <si>
    <t>2760-3360</t>
  </si>
  <si>
    <t>8-9.75</t>
  </si>
  <si>
    <t>隆達</t>
  </si>
  <si>
    <t>連續2個及以上 (以最低亮度起算)</t>
  </si>
  <si>
    <t>至少2*3細分格</t>
  </si>
  <si>
    <t>廠內有庫存：1~2周
廠內無庫存：2~4周</t>
  </si>
  <si>
    <t>3806(S-隆達)-2.9V max-無Zener-CQ</t>
  </si>
  <si>
    <t>3806(S)-無Zener-CQ</t>
  </si>
  <si>
    <t>3806(S-隆達)-2.9V max-無Zener-HF</t>
  </si>
  <si>
    <t>3806(S)-無Zener-HF</t>
  </si>
  <si>
    <t>2815-3450</t>
  </si>
  <si>
    <t>3806(New YAG-隆達)-2.9V max-有Zener</t>
  </si>
  <si>
    <t>3806(New YAG)-2.9V max-有Zener</t>
  </si>
  <si>
    <t>2645-3260</t>
  </si>
  <si>
    <t>7.5-9.25</t>
  </si>
  <si>
    <t>至少2*5細分格</t>
  </si>
  <si>
    <t>3806(New YAG-隆達)-2.9V max-無Zener</t>
  </si>
  <si>
    <t>3806(New YAG)-2.9V max-無Zener</t>
  </si>
  <si>
    <t>2570-3160</t>
  </si>
  <si>
    <t>3806(YAG-隆達)-2.9V max-無Zener</t>
  </si>
  <si>
    <t>2745-3255</t>
  </si>
  <si>
    <t>8-9.5</t>
  </si>
  <si>
    <t>3006(KSF+β-sailon(540)-隆達)-2.9V max-無Zener</t>
  </si>
  <si>
    <t>2632-3070</t>
  </si>
  <si>
    <t>7.5-8.75</t>
  </si>
  <si>
    <t>≥5</t>
  </si>
  <si>
    <t>3006(KSF+β-sailon(540)-隆達)-2.9V max-無Zener-低蓝光</t>
  </si>
  <si>
    <t>3006(KSF+β-sailon(540))-2.9V max-無Zener-低蓝光</t>
  </si>
  <si>
    <t>455~462.5</t>
  </si>
  <si>
    <t>≥12</t>
  </si>
  <si>
    <t>供应商名称：首尔半导体
供应商联系人：戴智敏
13814599946
zhimin.dai@seoulsemicon.com
谭涛（技术）
18520827298
tao.tan@seoulsemicon.com</t>
  </si>
  <si>
    <t>3006(KSF+β-sailon(540)-首尔)-2.9V max-無Zener-低蓝光</t>
  </si>
  <si>
    <t>2600-3100</t>
  </si>
  <si>
    <t>SVC</t>
  </si>
  <si>
    <t>455-462.5nm</t>
  </si>
  <si>
    <t>厂内有库存：1周左右
厂内无库存：预计2周</t>
  </si>
  <si>
    <t>首尔</t>
  </si>
  <si>
    <t>供應商名稱：穗晶
供應商聯繫人：張三土
13728994049
zhangsantu@suijing.net
張潮深（技術）
18028730941
chenchaoshen@suijing.net</t>
  </si>
  <si>
    <t>3806(S-穗晶)-2.9V max-有Zener</t>
  </si>
  <si>
    <t>暂不使用</t>
  </si>
  <si>
    <t>3806(S)-有Zener</t>
  </si>
  <si>
    <t>2650-3750</t>
  </si>
  <si>
    <t>7.25-10.0</t>
  </si>
  <si>
    <t>Y550+Y563
或Y563+Y567</t>
  </si>
  <si>
    <t>廠內有庫存：3天
廠內無庫存：5天</t>
  </si>
  <si>
    <t>穗晶</t>
  </si>
  <si>
    <t>1.尺寸：NB產品一般選用3806和3006，3006較3806長度小，可通過增加顆數實現更高亮度；
2.色域：Silicate粉可達成NTSC 55%～67%，YAG粉可達成NTSC 70%，RG(540+630 )粉可達成NTSC 93%，RG(529+630 )粉可達成 Adobe 100%，CF彩膜需作相應調整；  
3.白點色座標（Wx,Wy）：依據客戶指定的（Wx,Wy）確定中心色塊；
4.亮度檔：根據客戶的亮度和功耗規格選擇亮度檔；
5.根據客戶的功耗規格選擇電壓檔。    
6.可量產性：所選擇色塊應在主量產區，一般須確保一個斜率上有3個色塊。     
7.價格：在滿足客戶Spec前提下，優先選擇低成本LED廠家。</t>
  </si>
  <si>
    <t>常用LED價格對比（資料來源 趙孟）</t>
  </si>
  <si>
    <t>廠家</t>
  </si>
  <si>
    <t>螢光粉</t>
  </si>
  <si>
    <t>價格</t>
  </si>
  <si>
    <t>silicate</t>
  </si>
  <si>
    <t>億光</t>
  </si>
  <si>
    <t>Wooree</t>
  </si>
  <si>
    <t>東貝</t>
  </si>
  <si>
    <t>聚飛</t>
  </si>
  <si>
    <t>KSF</t>
  </si>
  <si>
    <t>YAG</t>
  </si>
  <si>
    <t>亮度對比（資料來源 CT 實際測量 ）</t>
  </si>
  <si>
    <t>廠商</t>
  </si>
  <si>
    <t>zener</t>
  </si>
  <si>
    <t>亮度規格min</t>
  </si>
  <si>
    <t>亮度規格max</t>
  </si>
  <si>
    <t>實測（5pcs平均值）</t>
  </si>
  <si>
    <t>實測/規格min</t>
  </si>
  <si>
    <t>3806_Y</t>
  </si>
  <si>
    <t>yes</t>
  </si>
  <si>
    <t>no</t>
  </si>
  <si>
    <t>3806C</t>
  </si>
  <si>
    <t>首爾</t>
  </si>
  <si>
    <t>密度(g/cm^3)</t>
  </si>
  <si>
    <t>抗拉强度
Tensile Strength（MPa）</t>
  </si>
  <si>
    <t>剪切强度
Shear Strength（MPa）</t>
  </si>
  <si>
    <t xml:space="preserve">    热导率      （W/(m.K））</t>
  </si>
  <si>
    <t>硬度
（Hv）</t>
  </si>
  <si>
    <t>特点</t>
  </si>
  <si>
    <t xml:space="preserve">SUS304-1/2H </t>
  </si>
  <si>
    <t>250~310HV</t>
  </si>
  <si>
    <t>◆ 没有磁性
◆ NB产品上常用</t>
  </si>
  <si>
    <t>◆ 已用于15.6UHD-N44联想项量产</t>
  </si>
  <si>
    <t>SUS304-3/4H</t>
  </si>
  <si>
    <t>310~370HV</t>
  </si>
  <si>
    <t>◆ 没有磁性
◆ Hemming加工有难度
◆ NB产品上不常用</t>
  </si>
  <si>
    <t>◆ 需要hemming加工时，需提前跟厂家再确认</t>
  </si>
  <si>
    <t xml:space="preserve">SUS430, 1D </t>
  </si>
  <si>
    <t>160HV</t>
  </si>
  <si>
    <t>◆ 有磁性
◆ Hemming加工容易
◆ NB产品上常用</t>
  </si>
  <si>
    <t>◆ Hv范围150~190时1/2H，但是一般不写1/2H
◆ 1D：与强度没关系，只区分表面特征
◆ 已用于15.6UHD-N32联想项量产</t>
  </si>
  <si>
    <t>128HV</t>
  </si>
  <si>
    <t>◆ 已用于11.6 HADS VESA Dell项量产</t>
  </si>
  <si>
    <t>AL5052-H34</t>
  </si>
  <si>
    <t>68HV</t>
  </si>
  <si>
    <t>◆ 没有磁性
◆ 强度弱
◆ Hemming加工有难度
◆ NB少用，但越来越多采用</t>
  </si>
  <si>
    <t>◆ 需要hemming加工时，需提前跟厂家再确认
◆ 已用于12.3 WUXGA HP项量产</t>
  </si>
  <si>
    <t>385~410</t>
  </si>
  <si>
    <t>73HV</t>
  </si>
  <si>
    <t>◆ 没有磁性
◆ Hemming加工有难度
◆ NB全背板使用</t>
  </si>
  <si>
    <t>◆ 需要hemming加工时，需提前跟厂家再确认，是否存在开裂风险
◆ 暂无量产项</t>
  </si>
  <si>
    <t>105HV</t>
  </si>
  <si>
    <t>◆ 没有磁性</t>
  </si>
  <si>
    <t>◆ 对标GM55</t>
  </si>
  <si>
    <t>109HV</t>
  </si>
  <si>
    <t>◆ 无磁性;
◆表面不耐腐蚀，同GM55
◆强度测试稍弱于GM55</t>
  </si>
  <si>
    <t>◆对标GM55,国产低成本；竞争社已量产</t>
  </si>
  <si>
    <t xml:space="preserve">AL5052-H34 </t>
  </si>
  <si>
    <t>110~138HV</t>
  </si>
  <si>
    <t>◆ 需要hemming加工时，需提前跟厂家再确认，是否存在开裂风险
◆ 已用于15.6 UHD-N51联想项量产</t>
  </si>
  <si>
    <t>GL57(Al材质）</t>
  </si>
  <si>
    <t>390~420</t>
  </si>
  <si>
    <t>113HV</t>
  </si>
  <si>
    <t>◆ 需要hemming加工时，需提前跟厂家再确认，是否存在开裂风险</t>
  </si>
  <si>
    <t>◆ 没有磁性
◆ NB产品上常用（15.6以上）</t>
  </si>
  <si>
    <t xml:space="preserve">SUS430, 1D  </t>
  </si>
  <si>
    <t>◆ Hv范围150~190时1/2H，但是一般不写1/2H
◆ 1D：与强度没关系，只区分表面特征</t>
  </si>
  <si>
    <t xml:space="preserve">AL5052-H32 </t>
  </si>
  <si>
    <t>62HV</t>
  </si>
  <si>
    <t>◆ 没有磁性
◆ 强度弱
◆ Hemming加工容易
◆ NB少用，但越来越多采用</t>
  </si>
  <si>
    <t>1.需与客户确认B/C材质有无磁性是否会影响客户系统；
2.材质、客户对材质是否有硬性要求;
3.厚度，厚度是否满足产品外形规格;
4.重量，是否满足模组重量规格;
5.强度，满足重量、厚度和加工性能前提下，尽量选用强度较大材质;
6.可加工型：尽量选择已加工、易加工、易成型原材.
2.</t>
  </si>
  <si>
    <t>供应商联系方式：</t>
  </si>
  <si>
    <t>人员</t>
  </si>
  <si>
    <t>电话</t>
  </si>
  <si>
    <t>领盛</t>
  </si>
  <si>
    <t>牛新菊</t>
  </si>
  <si>
    <t>冠鸿</t>
  </si>
  <si>
    <t>毛荣辉</t>
  </si>
  <si>
    <t>嘉彰</t>
  </si>
  <si>
    <t>吴天伦</t>
  </si>
  <si>
    <t>泽宇</t>
  </si>
  <si>
    <t>邵军</t>
  </si>
  <si>
    <t>Page 10 of 27</t>
  </si>
  <si>
    <t>潘通色卡</t>
  </si>
  <si>
    <t>阻燃性</t>
  </si>
  <si>
    <t>流动性g/10min</t>
  </si>
  <si>
    <t>缺口冲击性kg-cm/cm</t>
  </si>
  <si>
    <t>导热率</t>
  </si>
  <si>
    <t>热变形温度/℃</t>
  </si>
  <si>
    <t xml:space="preserve">   成型收缩率   %</t>
  </si>
  <si>
    <t>成本对比</t>
  </si>
  <si>
    <t>注塑厂家联系方式</t>
  </si>
  <si>
    <t>W/m*k</t>
  </si>
  <si>
    <t>出光</t>
  </si>
  <si>
    <t>URZ2501</t>
  </si>
  <si>
    <t xml:space="preserve">莫凡： 龚贤金 18777965423
通泰：王东 15256926077
冠鸿：刘焘 18205515878
南京新星：张乐 13776576252
莫凡鼎胜：谭华祥 18755188255
</t>
  </si>
  <si>
    <t>Mobile&amp;TPC华南厂常用</t>
  </si>
  <si>
    <t>亚仑</t>
  </si>
  <si>
    <t>PPA (GF增强)150G2/WE931P50P3</t>
  </si>
  <si>
    <t>13(KJ/m2)</t>
  </si>
  <si>
    <t>仅限胶铁一体项目使用</t>
  </si>
  <si>
    <t>PPA(GF 增强)150G2/BK266P45P3</t>
  </si>
  <si>
    <t>HB(3.0mm)</t>
  </si>
  <si>
    <t>11(KJ/m2)</t>
  </si>
  <si>
    <t>中塑</t>
  </si>
  <si>
    <t>PC5100</t>
  </si>
  <si>
    <t>金发</t>
  </si>
  <si>
    <t>C1R20 C9W-Q0005</t>
  </si>
  <si>
    <t>V0(3mm)</t>
  </si>
  <si>
    <t>验证通过（未使用）</t>
  </si>
  <si>
    <t>LG</t>
  </si>
  <si>
    <t>PC /  YGN1002FCA-K8888G</t>
  </si>
  <si>
    <t>V0(1.5mm)</t>
  </si>
  <si>
    <t>67/23℃</t>
  </si>
  <si>
    <t>0.5~0.8</t>
  </si>
  <si>
    <t>低</t>
  </si>
  <si>
    <t>NB常用
漏光风险高时使用黑色</t>
  </si>
  <si>
    <t>PC /  YSR3108FT-WU153G</t>
  </si>
  <si>
    <t>90%以上</t>
  </si>
  <si>
    <t>60/23℃</t>
  </si>
  <si>
    <t>PC / YGN1002FCA-E4256G</t>
  </si>
  <si>
    <t>浅灰</t>
  </si>
  <si>
    <t>PC / YGN1002FCA-E4594G</t>
  </si>
  <si>
    <t>深灰</t>
  </si>
  <si>
    <t>PC / YGN1002FL-Y0458G ( 109U )</t>
  </si>
  <si>
    <t>黄</t>
  </si>
  <si>
    <t>65/23℃</t>
  </si>
  <si>
    <t>PC / YSR3108FT-Y0528G</t>
  </si>
  <si>
    <t>邦泰</t>
  </si>
  <si>
    <t>CRB6100N WE15</t>
  </si>
  <si>
    <t>V0</t>
  </si>
  <si>
    <t>50/RT</t>
  </si>
  <si>
    <t>5100GN01</t>
  </si>
  <si>
    <t>绿(Pantone: 7480U)</t>
  </si>
  <si>
    <t>验证通过；绿色QD膜项目使用</t>
  </si>
  <si>
    <t>PPA+50%GF/SRPA6500 WH1086</t>
  </si>
  <si>
    <t>白色</t>
  </si>
  <si>
    <t>7.7(1/8")</t>
  </si>
  <si>
    <t>1.首选LG;
2.最小成型肉厚能力：通泰，0.35mm；莫凡，0.4mm.</t>
  </si>
  <si>
    <t>Page 11 of 27</t>
  </si>
  <si>
    <t>成本</t>
  </si>
  <si>
    <r>
      <rPr>
        <sz val="11"/>
        <color theme="1"/>
        <rFont val="宋体"/>
        <charset val="134"/>
        <scheme val="minor"/>
      </rPr>
      <t xml:space="preserve">以长阳SDM-150 </t>
    </r>
    <r>
      <rPr>
        <sz val="11"/>
        <color theme="1"/>
        <rFont val="宋体"/>
        <charset val="134"/>
        <scheme val="minor"/>
      </rPr>
      <t>348.6*197.2</t>
    </r>
    <r>
      <rPr>
        <sz val="11"/>
        <color theme="1"/>
        <rFont val="宋体"/>
        <charset val="134"/>
        <scheme val="minor"/>
      </rPr>
      <t>为基准：1</t>
    </r>
  </si>
  <si>
    <t>LGP厚度</t>
  </si>
  <si>
    <t>无规格</t>
  </si>
  <si>
    <t>CML</t>
  </si>
  <si>
    <t>无量产性，按项目评估</t>
  </si>
  <si>
    <r>
      <rPr>
        <sz val="11"/>
        <color theme="1"/>
        <rFont val="宋体"/>
        <charset val="134"/>
        <scheme val="minor"/>
      </rPr>
      <t xml:space="preserve">刘珊珊 </t>
    </r>
    <r>
      <rPr>
        <sz val="11"/>
        <color theme="1"/>
        <rFont val="宋体"/>
        <charset val="134"/>
        <scheme val="minor"/>
      </rPr>
      <t xml:space="preserve"> 反馈如下：</t>
    </r>
  </si>
  <si>
    <t xml:space="preserve">目前量产NB使用的热压LGP最薄为0.5t，由于0.4t及0.45t板材起订量较高（＞30k），价格相比同尺寸0.5t板贵40~50%。对于此类非常规板材，原材厂商按订单需求生产，生产周期不固定，暂时不建议在量产使用。
</t>
  </si>
  <si>
    <t>注塑LGP方面，资源池内注塑LGP厂商2020年实现了0.4t LGP压缩模的试产，暂未有量产实绩，如有需求请提供图纸，由供应商根据规格评估良率及价格。</t>
  </si>
  <si>
    <t>原材厂家</t>
  </si>
  <si>
    <t>大板厂</t>
  </si>
  <si>
    <t>对应厚度
（mm）</t>
  </si>
  <si>
    <t>比重（Density）</t>
  </si>
  <si>
    <t>透过率（Transmission）</t>
  </si>
  <si>
    <t>吸水率</t>
  </si>
  <si>
    <t>膨胀系数</t>
  </si>
  <si>
    <t>流动性</t>
  </si>
  <si>
    <t>抗冲击能力</t>
  </si>
  <si>
    <t>测试方式</t>
  </si>
  <si>
    <r>
      <rPr>
        <b/>
        <sz val="11"/>
        <color theme="1"/>
        <rFont val="微软雅黑"/>
        <charset val="134"/>
      </rPr>
      <t>测试值（g/cm</t>
    </r>
    <r>
      <rPr>
        <b/>
        <vertAlign val="superscript"/>
        <sz val="11"/>
        <color theme="1"/>
        <rFont val="微软雅黑"/>
        <charset val="134"/>
      </rPr>
      <t>3</t>
    </r>
    <r>
      <rPr>
        <b/>
        <sz val="11"/>
        <color theme="1"/>
        <rFont val="微软雅黑"/>
        <charset val="134"/>
      </rPr>
      <t>)</t>
    </r>
  </si>
  <si>
    <t>测试值</t>
  </si>
  <si>
    <t>测试值(g/10min)</t>
  </si>
  <si>
    <t>测试值(KJ/m²)</t>
  </si>
  <si>
    <t>VH6</t>
  </si>
  <si>
    <t>LGMMA</t>
  </si>
  <si>
    <t>世化</t>
  </si>
  <si>
    <t>0.2~2</t>
  </si>
  <si>
    <t>JIS K 7112(A)</t>
  </si>
  <si>
    <t>JIS K 7105(A)</t>
  </si>
  <si>
    <t>ASTM D570</t>
  </si>
  <si>
    <t>ASTM D696</t>
  </si>
  <si>
    <t>6X10-5</t>
  </si>
  <si>
    <t>ASTM D1238</t>
  </si>
  <si>
    <t>ASTM D256</t>
  </si>
  <si>
    <t>翰博提供</t>
  </si>
  <si>
    <t>HP-202</t>
  </si>
  <si>
    <t>DKC</t>
  </si>
  <si>
    <t>0.3~6</t>
  </si>
  <si>
    <t>ASTM D792</t>
  </si>
  <si>
    <t>ASTM D1003</t>
  </si>
  <si>
    <t>80NH</t>
  </si>
  <si>
    <t>旭化成</t>
  </si>
  <si>
    <t>富士康</t>
  </si>
  <si>
    <t>0.3~3</t>
  </si>
  <si>
    <t>ISO 1183</t>
  </si>
  <si>
    <t>ISO 13468</t>
  </si>
  <si>
    <t>90-92%</t>
  </si>
  <si>
    <t>ISO 62-1</t>
  </si>
  <si>
    <t>ISO11359-2</t>
  </si>
  <si>
    <t>7X10-5</t>
  </si>
  <si>
    <t>VHM</t>
  </si>
  <si>
    <t>新韩</t>
  </si>
  <si>
    <t>0.4~3</t>
  </si>
  <si>
    <t>D792</t>
  </si>
  <si>
    <t>D1003</t>
  </si>
  <si>
    <t>D570</t>
  </si>
  <si>
    <t>D696</t>
  </si>
  <si>
    <t>5.9x10-5</t>
  </si>
  <si>
    <t>BLC-11</t>
  </si>
  <si>
    <t>三菱、帝人等混合</t>
  </si>
  <si>
    <t>龙华</t>
  </si>
  <si>
    <t>0.05~2</t>
  </si>
  <si>
    <t>&gt;89%</t>
  </si>
  <si>
    <t>GH-1000S</t>
  </si>
  <si>
    <t>Kuraray</t>
  </si>
  <si>
    <t>（射出型）</t>
  </si>
  <si>
    <t>0.5~2</t>
  </si>
  <si>
    <t>ISO 13468-1</t>
  </si>
  <si>
    <t>≤92%</t>
  </si>
  <si>
    <t>ISO 62</t>
  </si>
  <si>
    <t>ISO 1133</t>
  </si>
  <si>
    <t>ISO 179</t>
  </si>
  <si>
    <t>金名山提供</t>
  </si>
  <si>
    <t>瀚阳</t>
  </si>
  <si>
    <t>0.4~3.5</t>
  </si>
  <si>
    <t>天禄提供</t>
  </si>
  <si>
    <t>UF1004C</t>
  </si>
  <si>
    <t>LGChem</t>
  </si>
  <si>
    <t>I-COM</t>
  </si>
  <si>
    <t>0.25~0.6</t>
  </si>
  <si>
    <t xml:space="preserve">ISO 1183 </t>
  </si>
  <si>
    <t xml:space="preserve">ASTM D1003 </t>
  </si>
  <si>
    <t>ISO 11359-2</t>
  </si>
  <si>
    <t>70 x 10-6</t>
  </si>
  <si>
    <t>ISO 180</t>
  </si>
  <si>
    <t>HP202</t>
  </si>
  <si>
    <t>高一智</t>
  </si>
  <si>
    <t>0.4~0.6</t>
  </si>
  <si>
    <t>24h ASTM D570</t>
  </si>
  <si>
    <r>
      <rPr>
        <sz val="11"/>
        <color theme="1"/>
        <rFont val="Arial Unicode MS"/>
        <charset val="134"/>
      </rPr>
      <t>6*10</t>
    </r>
    <r>
      <rPr>
        <vertAlign val="superscript"/>
        <sz val="11"/>
        <color theme="1"/>
        <rFont val="Arial Unicode MS"/>
        <charset val="134"/>
      </rPr>
      <t xml:space="preserve">-5  </t>
    </r>
  </si>
  <si>
    <t>高一智提供</t>
  </si>
  <si>
    <t>0.5~0.7</t>
  </si>
  <si>
    <r>
      <rPr>
        <sz val="11"/>
        <color theme="1"/>
        <rFont val="Arial Unicode MS"/>
        <charset val="134"/>
      </rPr>
      <t>38*10</t>
    </r>
    <r>
      <rPr>
        <vertAlign val="superscript"/>
        <sz val="11"/>
        <color theme="1"/>
        <rFont val="Arial Unicode MS"/>
        <charset val="134"/>
      </rPr>
      <t xml:space="preserve">-5  </t>
    </r>
  </si>
  <si>
    <t>0.5~0.9</t>
  </si>
  <si>
    <t>6*10-5</t>
  </si>
  <si>
    <t>亿光源提供</t>
  </si>
  <si>
    <t>原材类型</t>
  </si>
  <si>
    <t>厂家</t>
  </si>
  <si>
    <t>成型方式</t>
  </si>
  <si>
    <t>对应原材型号</t>
  </si>
  <si>
    <t>网点加工方法</t>
  </si>
  <si>
    <t>出光面工艺</t>
  </si>
  <si>
    <t>入光侧端面工艺</t>
  </si>
  <si>
    <t>能力水平</t>
  </si>
  <si>
    <t>价格</t>
  </si>
  <si>
    <t>联系窗口</t>
  </si>
  <si>
    <t>热压</t>
  </si>
  <si>
    <t>UF1004-C</t>
  </si>
  <si>
    <t>镭射</t>
  </si>
  <si>
    <t>双面热压</t>
  </si>
  <si>
    <t>抛光机</t>
  </si>
  <si>
    <t>高</t>
  </si>
  <si>
    <t>金晶 18913388612，jinjing830902@163.com</t>
  </si>
  <si>
    <t>韩系</t>
  </si>
  <si>
    <t>天禄</t>
  </si>
  <si>
    <t>镜面/原材自带lenti</t>
  </si>
  <si>
    <t>滚轮侧压/抛光机</t>
  </si>
  <si>
    <t>廖辉，137-3265-7927，liaohui@sz-talant.com</t>
  </si>
  <si>
    <t>大陆系</t>
  </si>
  <si>
    <t>翰博</t>
  </si>
  <si>
    <t>镜面/v-cut</t>
  </si>
  <si>
    <t>抛光/r-cut</t>
  </si>
  <si>
    <t>张立满，18715048466，zhangliman@hibr.com.cn</t>
  </si>
  <si>
    <t xml:space="preserve">HP-202 </t>
  </si>
  <si>
    <t>天禄TIR</t>
  </si>
  <si>
    <t>电镀</t>
  </si>
  <si>
    <t>原材自带lenti</t>
  </si>
  <si>
    <t>金名山</t>
  </si>
  <si>
    <t>注塑</t>
  </si>
  <si>
    <t>镜面/发丝纹</t>
  </si>
  <si>
    <t>李孝希，139-1370-5074，xiaoxi_li@cmsop.com</t>
  </si>
  <si>
    <t>台系</t>
  </si>
  <si>
    <t>VH6/HP-202/
80NH/VHM</t>
  </si>
  <si>
    <t>奕华</t>
  </si>
  <si>
    <t xml:space="preserve">抛光/滚轮 </t>
  </si>
  <si>
    <t>周春栋，13862029810，zoro.zhou@eh-sz.com</t>
  </si>
  <si>
    <t>维旺NGL</t>
  </si>
  <si>
    <t>电镀高增益网点
镭射火山口网点</t>
  </si>
  <si>
    <t>lenti</t>
  </si>
  <si>
    <t>抛光</t>
  </si>
  <si>
    <t>任黎明(业务)，13665170228，andyren@nicrotek.com；
王欢(技术)，15370103536，han.wang@nicrotek.com;</t>
  </si>
  <si>
    <t>亿光源</t>
  </si>
  <si>
    <t>原材成型Lenit</t>
  </si>
  <si>
    <t>热滚压V-cut</t>
  </si>
  <si>
    <t>开发 孟凡亮，18015518591，flmeng@yeahlight.cn
开发 吴京全，133-7214-8650，jim.wu@yeahlight.cn
业务 朱森林，137-7194-8192，james.zhu@yeahlight.cn</t>
  </si>
  <si>
    <t xml:space="preserve">LGP选型     
考量因素
</t>
  </si>
  <si>
    <t xml:space="preserve">1.材料：PMMA 光学设计方面比较好，信赖性方面相对较差，PC 光学设计方面难(RGB色透过率不一样),信赖性方面相对较好；根据客户信赖性要求选择，如三星必须进行8585测试，建议选择PC材质；PMMA材质选用需注意膨胀空间预留，
PC材质选用需注意抗划伤涉及及面内色差问题；PC材料白点不良高。
2.生产方式 :注塑可以对应 Taper，入光部serration 等特殊结构残留应力比较大；热压特殊结构需后加工进行，残留应力比较小(热/湿相关信赖性比较好)。
</t>
  </si>
  <si>
    <t>Page 9 of 27</t>
  </si>
  <si>
    <t>厚度
（mm）</t>
  </si>
  <si>
    <t>ES-6353GCHJ</t>
  </si>
  <si>
    <t>Dwell</t>
  </si>
  <si>
    <t>GB/T 2792</t>
  </si>
  <si>
    <t>＜0.3mm</t>
  </si>
  <si>
    <t>GB/T 4851</t>
  </si>
  <si>
    <t>表面电阻：≤0.3Ω/sq</t>
  </si>
  <si>
    <t>Test by MIL-G-83528</t>
  </si>
  <si>
    <t>单层铝箔</t>
  </si>
  <si>
    <t>德祐涉诉，暂停选型</t>
  </si>
  <si>
    <t>ES-3353BCJ</t>
  </si>
  <si>
    <t>表面电阻：≤0.5Ω/sq</t>
  </si>
  <si>
    <t>双层铝箔</t>
  </si>
  <si>
    <t>ES-4353BCJ</t>
  </si>
  <si>
    <t>＜3mm</t>
  </si>
  <si>
    <t>ES-3353BCHJ</t>
  </si>
  <si>
    <t>BAC6800</t>
  </si>
  <si>
    <t>Dexerials</t>
  </si>
  <si>
    <t>0.05</t>
  </si>
  <si>
    <t>＞1500</t>
  </si>
  <si>
    <t>G001-012</t>
  </si>
  <si>
    <t>停产，暂停选型</t>
  </si>
  <si>
    <t>ALB7910C</t>
  </si>
  <si>
    <t>≤0.6</t>
  </si>
  <si>
    <t>G002-025</t>
  </si>
  <si>
    <t>G021-203</t>
  </si>
  <si>
    <t>CEAP-6B</t>
  </si>
  <si>
    <t>接触电阻：0.02Ω/in2</t>
  </si>
  <si>
    <t>DAL078</t>
  </si>
  <si>
    <t>凯仁</t>
  </si>
  <si>
    <t>≥1000g/25mm</t>
  </si>
  <si>
    <t>ASTMD-3330</t>
  </si>
  <si>
    <t>≥10000min（常温、高温）</t>
  </si>
  <si>
    <t>PSTC-7，常温1kg，耐温0.5kg</t>
  </si>
  <si>
    <t>X和Y向导通阻抗＜0.5Ω/sq，Z方向表面绝缘</t>
  </si>
  <si>
    <t>不在资源池</t>
  </si>
  <si>
    <t>ALPT20260</t>
  </si>
  <si>
    <t>SVS</t>
  </si>
  <si>
    <t>JIS Z0237 8</t>
  </si>
  <si>
    <t>＜0.3mm/h</t>
  </si>
  <si>
    <t xml:space="preserve">JIS Z0237 11 </t>
  </si>
  <si>
    <t>接触电阻：≤0.15Ω/in2</t>
  </si>
  <si>
    <t>MIL-STD-202</t>
  </si>
  <si>
    <t>铝箔</t>
  </si>
  <si>
    <t>后续新品不再采用ALPT20260，将以弘擎自制HQ021-60替代，供应链邀请新材料验证中。</t>
  </si>
  <si>
    <t>停用</t>
  </si>
  <si>
    <t>ALPT20255</t>
  </si>
  <si>
    <t xml:space="preserve"> 后续新品不在采用ALPT20255，将以弘擎自制HQ021B-56替代，供应链邀请新材料验证中。</t>
  </si>
  <si>
    <t>JISZ023711</t>
  </si>
  <si>
    <t>表面电阻：≤0.1Ω/sq</t>
  </si>
  <si>
    <t>MIL-G-83528</t>
  </si>
  <si>
    <t>0.055</t>
  </si>
  <si>
    <t>for Normal边框（如DP侧）贴附易褶皱</t>
  </si>
  <si>
    <t>0.06</t>
  </si>
  <si>
    <t>表面电阻：0.2Ω/in2</t>
  </si>
  <si>
    <t>(11.6 HD N43 Normal 边框)</t>
  </si>
  <si>
    <t xml:space="preserve">已量产 
</t>
  </si>
  <si>
    <t>B57BALB-DC</t>
  </si>
  <si>
    <t>表面电阻：≤0.15Ω/sq</t>
  </si>
  <si>
    <t>此两款材料为TPC资源池，不在NB资源池</t>
  </si>
  <si>
    <t>BHALDC-60</t>
  </si>
  <si>
    <t>0.057</t>
  </si>
  <si>
    <t>≥48H</t>
  </si>
  <si>
    <r>
      <rPr>
        <sz val="12"/>
        <color theme="0" tint="-0.499984740745262"/>
        <rFont val="微软雅黑"/>
        <charset val="134"/>
      </rPr>
      <t>表面电阻：&lt;0.15Ω/in</t>
    </r>
    <r>
      <rPr>
        <vertAlign val="superscript"/>
        <sz val="12"/>
        <color theme="0" tint="-0.499984740745262"/>
        <rFont val="微软雅黑"/>
        <charset val="134"/>
      </rPr>
      <t>2</t>
    </r>
  </si>
  <si>
    <t>HBDA-B2</t>
  </si>
  <si>
    <t>GB/T 2792-1998</t>
  </si>
  <si>
    <t>&lt; 0.5mm/h</t>
  </si>
  <si>
    <t>GB/T 4851-1998</t>
  </si>
  <si>
    <t>胶面表面电阻＜0.06Ω/sq</t>
  </si>
  <si>
    <t>毫欧电阻测试仪</t>
  </si>
  <si>
    <t>EBT7005B</t>
  </si>
  <si>
    <t>环明</t>
  </si>
  <si>
    <r>
      <rPr>
        <sz val="12"/>
        <rFont val="微软雅黑"/>
        <charset val="134"/>
      </rPr>
      <t>表面电阻 0.09Ω/in</t>
    </r>
    <r>
      <rPr>
        <vertAlign val="superscript"/>
        <sz val="12"/>
        <rFont val="微软雅黑"/>
        <charset val="134"/>
      </rPr>
      <t>2</t>
    </r>
    <r>
      <rPr>
        <sz val="12"/>
        <rFont val="微软雅黑"/>
        <charset val="134"/>
      </rPr>
      <t xml:space="preserve"> Typ.</t>
    </r>
  </si>
  <si>
    <r>
      <rPr>
        <sz val="12"/>
        <rFont val="微软雅黑"/>
        <charset val="134"/>
      </rPr>
      <t>表面电阻 0.08Ω/in</t>
    </r>
    <r>
      <rPr>
        <vertAlign val="superscript"/>
        <sz val="12"/>
        <rFont val="微软雅黑"/>
        <charset val="134"/>
      </rPr>
      <t>2</t>
    </r>
    <r>
      <rPr>
        <sz val="12"/>
        <rFont val="微软雅黑"/>
        <charset val="134"/>
      </rPr>
      <t xml:space="preserve"> Typ.</t>
    </r>
  </si>
  <si>
    <t>1.验证平台：0.8mm贴附宽度（无边框）
2.材质软，适配1~3g离型膜；贴附宽度≥2.0mm不适用（如DP侧）</t>
  </si>
  <si>
    <t>Page 12 of 27</t>
  </si>
  <si>
    <t>磁导率</t>
  </si>
  <si>
    <t>AS9307G</t>
  </si>
  <si>
    <t>min 900</t>
  </si>
  <si>
    <t>&gt;24H</t>
  </si>
  <si>
    <t>110（3MHz）</t>
  </si>
  <si>
    <t>-40~120</t>
  </si>
  <si>
    <t xml:space="preserve">已量产                                                      </t>
  </si>
  <si>
    <t>AS9704G</t>
  </si>
  <si>
    <t>min 500</t>
  </si>
  <si>
    <t>表面不导电</t>
  </si>
  <si>
    <t>180（3MHz）</t>
  </si>
  <si>
    <t>AS9004G</t>
  </si>
  <si>
    <t xml:space="preserve">已量产                                            </t>
  </si>
  <si>
    <t>MSC-1H-040</t>
  </si>
  <si>
    <t>ASTM D1000</t>
  </si>
  <si>
    <t>＞48H</t>
  </si>
  <si>
    <t>PSCT-7</t>
  </si>
  <si>
    <t>10^6</t>
  </si>
  <si>
    <t>ASTM</t>
  </si>
  <si>
    <t>100-130（1MHz）</t>
  </si>
  <si>
    <t>-25~85</t>
  </si>
  <si>
    <t>AB7003HF</t>
  </si>
  <si>
    <t>110（1MHz）</t>
  </si>
  <si>
    <t>AB5010CN(已停产)</t>
  </si>
  <si>
    <t>NV125QUM-N81-3BP0（何帅）NT173WDM-N21-5D34（何涌杰)</t>
  </si>
  <si>
    <t>min 1100</t>
  </si>
  <si>
    <t>≥72H</t>
  </si>
  <si>
    <t>≥10^5</t>
  </si>
  <si>
    <t>SJ/T10694-2006</t>
  </si>
  <si>
    <t>120（1MHz）</t>
  </si>
  <si>
    <t>（窄边框机种）吸波材与Cell Tape复合使用注意确认翘起</t>
  </si>
  <si>
    <t>EMAS-25BN03-A015</t>
  </si>
  <si>
    <t>≥10^4</t>
  </si>
  <si>
    <t>Minoru（睿穗）</t>
  </si>
  <si>
    <t>min 1000</t>
  </si>
  <si>
    <t>＞10^6</t>
  </si>
  <si>
    <t>120（3MHz）</t>
  </si>
  <si>
    <t>≥1000</t>
  </si>
  <si>
    <t>PSTC-1</t>
  </si>
  <si>
    <t>PSTC-7</t>
  </si>
  <si>
    <t>MA250-03</t>
  </si>
  <si>
    <t>250（3MHz）</t>
  </si>
  <si>
    <t>Page 13 of 27</t>
  </si>
  <si>
    <t>GB/T2792</t>
  </si>
  <si>
    <t>GB/T4851</t>
  </si>
  <si>
    <t>MIL-G-83528/MIL-STD-202</t>
  </si>
  <si>
    <t>NT140FHM-N4V-DB31机种出现翘起和导电布分离不良，变更为35Y1可解。</t>
  </si>
  <si>
    <t>GB/T ASTMD3330</t>
  </si>
  <si>
    <t>位移&lt;0.05mm</t>
  </si>
  <si>
    <t>GB/T D257</t>
  </si>
  <si>
    <t>GB/T MIL-STD-202</t>
  </si>
  <si>
    <t>＞60  
(1KHZ~136.7GHZ)</t>
  </si>
  <si>
    <t>（-20-80℃）</t>
  </si>
  <si>
    <t>Page 14 of 27</t>
  </si>
  <si>
    <t>選用的LED</t>
  </si>
  <si>
    <t>電流</t>
  </si>
  <si>
    <t>電壓</t>
  </si>
  <si>
    <t>揚州宇理電子</t>
  </si>
  <si>
    <t>Nichia（日亞）</t>
  </si>
  <si>
    <t>INSOAR（盈碩）</t>
  </si>
  <si>
    <r>
      <rPr>
        <b/>
        <sz val="12"/>
        <rFont val="Arial"/>
        <charset val="134"/>
      </rPr>
      <t>AOT</t>
    </r>
    <r>
      <rPr>
        <b/>
        <sz val="12"/>
        <rFont val="微软雅黑"/>
        <charset val="134"/>
      </rPr>
      <t>（展晶）</t>
    </r>
  </si>
  <si>
    <t>上海弘名（億光代理）</t>
  </si>
  <si>
    <t>東貝光電</t>
  </si>
  <si>
    <r>
      <rPr>
        <b/>
        <sz val="12"/>
        <rFont val="微軟正黑體"/>
        <charset val="136"/>
      </rPr>
      <t>首</t>
    </r>
    <r>
      <rPr>
        <b/>
        <sz val="12"/>
        <rFont val="宋体"/>
        <charset val="134"/>
      </rPr>
      <t>尔半导体</t>
    </r>
  </si>
  <si>
    <t>封裝尺寸</t>
  </si>
  <si>
    <t>YAGlike</t>
  </si>
  <si>
    <t>KSF+β-sailon (529)</t>
  </si>
  <si>
    <t>KSF+β-sailon (540)</t>
  </si>
  <si>
    <t>KSF+β-sailon(540)</t>
  </si>
  <si>
    <t>KSF+β-sailon(529)</t>
  </si>
  <si>
    <t>KSF+β-sailon(535)</t>
  </si>
  <si>
    <t>Gal+ Nitride</t>
  </si>
  <si>
    <t>KSF+G535</t>
  </si>
  <si>
    <t>NEW YAG</t>
  </si>
  <si>
    <t>S-Nitride</t>
  </si>
  <si>
    <t>Nitrides</t>
  </si>
  <si>
    <t>具體型號</t>
  </si>
  <si>
    <t>WS36N1F-Y0CEB-V</t>
  </si>
  <si>
    <t>WS36N1F-YA01B-g</t>
  </si>
  <si>
    <t>NSSW306G</t>
  </si>
  <si>
    <t>NSSW306F(G)-HGB</t>
  </si>
  <si>
    <t>NSSW306G-HG</t>
  </si>
  <si>
    <t>NS2W364G-HG</t>
  </si>
  <si>
    <t>NSSW266GT-HG</t>
  </si>
  <si>
    <t>I-B3806CW6A-N2</t>
  </si>
  <si>
    <t>I-B3806CW6A-NC</t>
  </si>
  <si>
    <t>3806C-W3CV</t>
  </si>
  <si>
    <t>3806C-W3CX</t>
  </si>
  <si>
    <t>3006C-W3C0</t>
  </si>
  <si>
    <t>3006C-W3ME</t>
  </si>
  <si>
    <t>99-616LM2C</t>
  </si>
  <si>
    <t>3006UM2C</t>
  </si>
  <si>
    <t>99-218GLM2C</t>
  </si>
  <si>
    <t>99-616KUK4C</t>
  </si>
  <si>
    <t>3006UK4C</t>
  </si>
  <si>
    <t>MSL-566VSW-A3-DE</t>
  </si>
  <si>
    <r>
      <rPr>
        <sz val="12"/>
        <rFont val="Arial"/>
        <charset val="134"/>
      </rPr>
      <t>L596SW-A</t>
    </r>
    <r>
      <rPr>
        <sz val="12"/>
        <rFont val="細明體"/>
        <charset val="136"/>
      </rPr>
      <t>□</t>
    </r>
    <r>
      <rPr>
        <sz val="12"/>
        <rFont val="Arial"/>
        <charset val="134"/>
      </rPr>
      <t>-DDH Series</t>
    </r>
  </si>
  <si>
    <r>
      <rPr>
        <sz val="12"/>
        <rFont val="Arial"/>
        <charset val="134"/>
      </rPr>
      <t>L556ZW-A</t>
    </r>
    <r>
      <rPr>
        <sz val="12"/>
        <rFont val="細明體"/>
        <charset val="136"/>
      </rPr>
      <t>□</t>
    </r>
    <r>
      <rPr>
        <sz val="12"/>
        <rFont val="Arial"/>
        <charset val="134"/>
      </rPr>
      <t>-DDH Series</t>
    </r>
  </si>
  <si>
    <t>01.JT.CBS206W-P</t>
  </si>
  <si>
    <t>01.JB.CAS201W65P03</t>
  </si>
  <si>
    <t>01.JB.CAS306W65P30</t>
  </si>
  <si>
    <t>PS06W61.0(合肥)</t>
  </si>
  <si>
    <t>PS06W12.0(重庆)</t>
  </si>
  <si>
    <t>PS06W53.0(合肥)</t>
  </si>
  <si>
    <t>PS06W65.0
(重慶，新YAG，sRGB)</t>
  </si>
  <si>
    <t>PS06W64.0
 (重慶，新YAG，sRGB)</t>
  </si>
  <si>
    <t>PS06W24.1
(重慶，舊YAG，NTSC)</t>
  </si>
  <si>
    <t>SJ-AS020ZW10Z</t>
  </si>
  <si>
    <t>簡寫</t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</si>
  <si>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宇理</t>
    </r>
    <r>
      <rPr>
        <sz val="12"/>
        <rFont val="Arial"/>
        <charset val="134"/>
      </rPr>
      <t>)-2.9V MAX-</t>
    </r>
    <r>
      <rPr>
        <sz val="12"/>
        <rFont val="新細明體"/>
        <charset val="136"/>
      </rPr>
      <t>有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</si>
  <si>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宇理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有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</si>
  <si>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3806(YAG-</t>
    </r>
    <r>
      <rPr>
        <sz val="12"/>
        <rFont val="新細明體"/>
        <charset val="136"/>
      </rPr>
      <t>宇理</t>
    </r>
    <r>
      <rPr>
        <sz val="12"/>
        <rFont val="Arial"/>
        <charset val="134"/>
      </rPr>
      <t>)-2.9V MAX-</t>
    </r>
    <r>
      <rPr>
        <sz val="12"/>
        <rFont val="新細明體"/>
        <charset val="136"/>
      </rPr>
      <t>有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</si>
  <si>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3806(YAG-</t>
    </r>
    <r>
      <rPr>
        <sz val="12"/>
        <rFont val="新細明體"/>
        <charset val="136"/>
      </rPr>
      <t>宇理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有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</si>
  <si>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3006(YAG-</t>
    </r>
    <r>
      <rPr>
        <sz val="12"/>
        <rFont val="新細明體"/>
        <charset val="136"/>
      </rPr>
      <t>日亞</t>
    </r>
    <r>
      <rPr>
        <sz val="12"/>
        <rFont val="Arial"/>
        <charset val="134"/>
      </rPr>
      <t>)-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</si>
  <si>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3006(KSF+β-sailon(529)-</t>
    </r>
    <r>
      <rPr>
        <sz val="12"/>
        <rFont val="新細明體"/>
        <charset val="136"/>
      </rPr>
      <t>日亞</t>
    </r>
    <r>
      <rPr>
        <sz val="12"/>
        <rFont val="Arial"/>
        <charset val="134"/>
      </rPr>
      <t>)-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</si>
  <si>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3006(KSF+β-sailon(540)-</t>
    </r>
    <r>
      <rPr>
        <sz val="12"/>
        <rFont val="新細明體"/>
        <charset val="136"/>
      </rPr>
      <t>日亞</t>
    </r>
    <r>
      <rPr>
        <sz val="12"/>
        <rFont val="Arial"/>
        <charset val="134"/>
      </rPr>
      <t>)-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</si>
  <si>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3804(KSF+β-sailon(540)-</t>
    </r>
    <r>
      <rPr>
        <sz val="12"/>
        <rFont val="新細明體"/>
        <charset val="136"/>
      </rPr>
      <t>日亞</t>
    </r>
    <r>
      <rPr>
        <sz val="12"/>
        <rFont val="Arial"/>
        <charset val="134"/>
      </rPr>
      <t>)-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</si>
  <si>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3105(KSF+β-sailon(540)-</t>
    </r>
    <r>
      <rPr>
        <sz val="12"/>
        <rFont val="宋体"/>
        <charset val="134"/>
      </rPr>
      <t>日亞</t>
    </r>
    <r>
      <rPr>
        <sz val="12"/>
        <rFont val="Arial"/>
        <charset val="134"/>
      </rPr>
      <t>)-</t>
    </r>
    <r>
      <rPr>
        <sz val="12"/>
        <rFont val="宋体"/>
        <charset val="134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</si>
  <si>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4206(KSF+β-sailon(529)-</t>
    </r>
    <r>
      <rPr>
        <sz val="12"/>
        <rFont val="宋体"/>
        <charset val="134"/>
      </rPr>
      <t>日亞</t>
    </r>
    <r>
      <rPr>
        <sz val="12"/>
        <rFont val="Arial"/>
        <charset val="134"/>
      </rPr>
      <t>)-</t>
    </r>
    <r>
      <rPr>
        <sz val="12"/>
        <rFont val="宋体"/>
        <charset val="134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</si>
  <si>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4206(KSF+β-sailon(540)-</t>
    </r>
    <r>
      <rPr>
        <sz val="12"/>
        <rFont val="新細明體"/>
        <charset val="136"/>
      </rPr>
      <t>日亞</t>
    </r>
    <r>
      <rPr>
        <sz val="12"/>
        <rFont val="Arial"/>
        <charset val="134"/>
      </rPr>
      <t>)-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</si>
  <si>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3006(KSF+β-sailon(535)-</t>
    </r>
    <r>
      <rPr>
        <sz val="12"/>
        <rFont val="宋体"/>
        <charset val="134"/>
      </rPr>
      <t>日亞</t>
    </r>
    <r>
      <rPr>
        <sz val="12"/>
        <rFont val="Arial"/>
        <charset val="134"/>
      </rPr>
      <t>)-</t>
    </r>
    <r>
      <rPr>
        <sz val="12"/>
        <rFont val="宋体"/>
        <charset val="134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</si>
  <si>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3006(KSF+β-sailon(540)-</t>
    </r>
    <r>
      <rPr>
        <sz val="12"/>
        <rFont val="細明體"/>
        <charset val="136"/>
      </rPr>
      <t>盈碩</t>
    </r>
    <r>
      <rPr>
        <sz val="12"/>
        <rFont val="Arial"/>
        <charset val="134"/>
      </rPr>
      <t>)-2.9V MAX-</t>
    </r>
    <r>
      <rPr>
        <sz val="12"/>
        <rFont val="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</si>
  <si>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盈碩</t>
    </r>
    <r>
      <rPr>
        <sz val="12"/>
        <rFont val="Arial"/>
        <charset val="134"/>
      </rPr>
      <t>)-2.9V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</si>
  <si>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盈碩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</si>
  <si>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3806(Gal+Nitride -</t>
    </r>
    <r>
      <rPr>
        <sz val="12"/>
        <rFont val="新細明體"/>
        <charset val="136"/>
      </rPr>
      <t>盈碩</t>
    </r>
    <r>
      <rPr>
        <sz val="12"/>
        <rFont val="Arial"/>
        <charset val="134"/>
      </rPr>
      <t>)-2.9V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</si>
  <si>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3806(Gal+Nitride -</t>
    </r>
    <r>
      <rPr>
        <sz val="12"/>
        <rFont val="新細明體"/>
        <charset val="136"/>
      </rPr>
      <t>盈碩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</si>
  <si>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3006(YAG-</t>
    </r>
    <r>
      <rPr>
        <sz val="12"/>
        <rFont val="宋体"/>
        <charset val="134"/>
      </rPr>
      <t>盈碩</t>
    </r>
    <r>
      <rPr>
        <sz val="12"/>
        <rFont val="Arial"/>
        <charset val="134"/>
      </rPr>
      <t>)-2.9V MAX-</t>
    </r>
    <r>
      <rPr>
        <sz val="12"/>
        <rFont val="宋体"/>
        <charset val="134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</si>
  <si>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3806(YAG-</t>
    </r>
    <r>
      <rPr>
        <sz val="12"/>
        <rFont val="細明體"/>
        <charset val="136"/>
      </rPr>
      <t>盈碩</t>
    </r>
    <r>
      <rPr>
        <sz val="12"/>
        <rFont val="Arial"/>
        <charset val="134"/>
      </rPr>
      <t>)-2.9V MAX-</t>
    </r>
    <r>
      <rPr>
        <sz val="12"/>
        <rFont val="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</si>
  <si>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3006(KSF+G535-</t>
    </r>
    <r>
      <rPr>
        <sz val="12"/>
        <rFont val="宋体"/>
        <charset val="134"/>
      </rPr>
      <t>盈碩</t>
    </r>
    <r>
      <rPr>
        <sz val="12"/>
        <rFont val="Arial"/>
        <charset val="134"/>
      </rPr>
      <t>)-3.0V MAX-</t>
    </r>
    <r>
      <rPr>
        <sz val="12"/>
        <rFont val="宋体"/>
        <charset val="134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</si>
  <si>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3806(S-</t>
    </r>
    <r>
      <rPr>
        <sz val="12"/>
        <rFont val="細明體"/>
        <charset val="136"/>
      </rPr>
      <t>展晶</t>
    </r>
    <r>
      <rPr>
        <sz val="12"/>
        <rFont val="Arial"/>
        <charset val="134"/>
      </rPr>
      <t>)-2.9V MAX-</t>
    </r>
    <r>
      <rPr>
        <sz val="12"/>
        <rFont val="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</si>
  <si>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展晶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</si>
  <si>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3806(YAG-</t>
    </r>
    <r>
      <rPr>
        <sz val="12"/>
        <rFont val="新細明體"/>
        <charset val="136"/>
      </rPr>
      <t>展晶</t>
    </r>
    <r>
      <rPr>
        <sz val="12"/>
        <rFont val="Arial"/>
        <charset val="134"/>
      </rPr>
      <t>)-2.9V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</si>
  <si>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3806(YAG-</t>
    </r>
    <r>
      <rPr>
        <sz val="12"/>
        <rFont val="新細明體"/>
        <charset val="136"/>
      </rPr>
      <t>展晶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</si>
  <si>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3806(New YAG-</t>
    </r>
    <r>
      <rPr>
        <sz val="12"/>
        <rFont val="細明體"/>
        <charset val="136"/>
      </rPr>
      <t>展晶</t>
    </r>
    <r>
      <rPr>
        <sz val="12"/>
        <rFont val="Arial"/>
        <charset val="134"/>
      </rPr>
      <t>)-2.85V MAX-</t>
    </r>
    <r>
      <rPr>
        <sz val="12"/>
        <rFont val="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</si>
  <si>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3006(YAG-</t>
    </r>
    <r>
      <rPr>
        <sz val="12"/>
        <rFont val="新細明體"/>
        <charset val="136"/>
      </rPr>
      <t>展晶</t>
    </r>
    <r>
      <rPr>
        <sz val="12"/>
        <rFont val="Arial"/>
        <charset val="134"/>
      </rPr>
      <t>)-2.9V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</si>
  <si>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3006(YAG-</t>
    </r>
    <r>
      <rPr>
        <sz val="12"/>
        <rFont val="新細明體"/>
        <charset val="136"/>
      </rPr>
      <t>展晶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</si>
  <si>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3006(KSF+β-sailon(540)-</t>
    </r>
    <r>
      <rPr>
        <sz val="12"/>
        <rFont val="新細明體"/>
        <charset val="136"/>
      </rPr>
      <t>展晶</t>
    </r>
    <r>
      <rPr>
        <sz val="12"/>
        <rFont val="Arial"/>
        <charset val="134"/>
      </rPr>
      <t>)-2.9V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</si>
  <si>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3006(KSF+β-sailon(540)-</t>
    </r>
    <r>
      <rPr>
        <sz val="12"/>
        <rFont val="新細明體"/>
        <charset val="136"/>
      </rPr>
      <t>展晶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</si>
  <si>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3006(KSF+β-sailon(540)-</t>
    </r>
    <r>
      <rPr>
        <sz val="12"/>
        <rFont val="宋体"/>
        <charset val="134"/>
      </rPr>
      <t>億光</t>
    </r>
    <r>
      <rPr>
        <sz val="12"/>
        <rFont val="Arial"/>
        <charset val="134"/>
      </rPr>
      <t>)-2.85V MAX-</t>
    </r>
    <r>
      <rPr>
        <sz val="12"/>
        <rFont val="宋体"/>
        <charset val="134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</si>
  <si>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3006(KSF+β-sailon(540)-</t>
    </r>
    <r>
      <rPr>
        <sz val="12"/>
        <rFont val="宋体"/>
        <charset val="134"/>
      </rPr>
      <t>億光</t>
    </r>
    <r>
      <rPr>
        <sz val="12"/>
        <rFont val="Arial"/>
        <charset val="134"/>
      </rPr>
      <t>)-2.9V MAX-</t>
    </r>
    <r>
      <rPr>
        <sz val="12"/>
        <rFont val="宋体"/>
        <charset val="134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</si>
  <si>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億光</t>
    </r>
    <r>
      <rPr>
        <sz val="12"/>
        <rFont val="Arial"/>
        <charset val="134"/>
      </rPr>
      <t>)-2.9V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</si>
  <si>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億光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</si>
  <si>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color theme="1"/>
        <rFont val="Arial"/>
        <charset val="134"/>
      </rPr>
      <t>3804(S-</t>
    </r>
    <r>
      <rPr>
        <sz val="12"/>
        <color theme="1"/>
        <rFont val="新細明體"/>
        <charset val="136"/>
      </rPr>
      <t>億光</t>
    </r>
    <r>
      <rPr>
        <sz val="12"/>
        <color theme="1"/>
        <rFont val="Arial"/>
        <charset val="134"/>
      </rPr>
      <t>)-2.9V MAX-</t>
    </r>
    <r>
      <rPr>
        <sz val="12"/>
        <color theme="1"/>
        <rFont val="新細明體"/>
        <charset val="136"/>
      </rPr>
      <t>無</t>
    </r>
    <r>
      <rPr>
        <sz val="12"/>
        <color theme="1"/>
        <rFont val="Arial"/>
        <charset val="134"/>
      </rPr>
      <t>Zener</t>
    </r>
  </si>
  <si>
    <r>
      <rPr>
        <sz val="12"/>
        <color theme="1"/>
        <rFont val="Arial"/>
        <charset val="134"/>
      </rPr>
      <t>3804(S-</t>
    </r>
    <r>
      <rPr>
        <sz val="12"/>
        <color theme="1"/>
        <rFont val="新細明體"/>
        <charset val="136"/>
      </rPr>
      <t>億光</t>
    </r>
    <r>
      <rPr>
        <sz val="12"/>
        <color theme="1"/>
        <rFont val="Arial"/>
        <charset val="134"/>
      </rPr>
      <t>)-3.0V MAX-</t>
    </r>
    <r>
      <rPr>
        <sz val="12"/>
        <color theme="1"/>
        <rFont val="新細明體"/>
        <charset val="136"/>
      </rPr>
      <t>無</t>
    </r>
    <r>
      <rPr>
        <sz val="12"/>
        <color theme="1"/>
        <rFont val="Arial"/>
        <charset val="134"/>
      </rPr>
      <t>Zener</t>
    </r>
  </si>
  <si>
    <r>
      <rPr>
        <sz val="12"/>
        <color theme="1"/>
        <rFont val="Arial"/>
        <charset val="134"/>
      </rPr>
      <t>3006(YAG-</t>
    </r>
    <r>
      <rPr>
        <sz val="12"/>
        <color theme="1"/>
        <rFont val="新細明體"/>
        <charset val="136"/>
      </rPr>
      <t>億光</t>
    </r>
    <r>
      <rPr>
        <sz val="12"/>
        <color theme="1"/>
        <rFont val="Arial"/>
        <charset val="134"/>
      </rPr>
      <t>)-2.9V MAX-</t>
    </r>
    <r>
      <rPr>
        <sz val="12"/>
        <color theme="1"/>
        <rFont val="新細明體"/>
        <charset val="136"/>
      </rPr>
      <t>無</t>
    </r>
    <r>
      <rPr>
        <sz val="12"/>
        <color theme="1"/>
        <rFont val="Arial"/>
        <charset val="134"/>
      </rPr>
      <t>Zener</t>
    </r>
  </si>
  <si>
    <r>
      <rPr>
        <sz val="12"/>
        <color theme="1"/>
        <rFont val="Arial"/>
        <charset val="134"/>
      </rPr>
      <t>3006(YAG-</t>
    </r>
    <r>
      <rPr>
        <sz val="12"/>
        <color theme="1"/>
        <rFont val="新細明體"/>
        <charset val="136"/>
      </rPr>
      <t>億光</t>
    </r>
    <r>
      <rPr>
        <sz val="12"/>
        <color theme="1"/>
        <rFont val="Arial"/>
        <charset val="134"/>
      </rPr>
      <t>)-3.0V MAX-</t>
    </r>
    <r>
      <rPr>
        <sz val="12"/>
        <color theme="1"/>
        <rFont val="新細明體"/>
        <charset val="136"/>
      </rPr>
      <t>無</t>
    </r>
    <r>
      <rPr>
        <sz val="12"/>
        <color theme="1"/>
        <rFont val="Arial"/>
        <charset val="134"/>
      </rPr>
      <t>Zener</t>
    </r>
  </si>
  <si>
    <t>3006(KSF+β-sailon(540)-東貝)-2.9V MAX-無Zener</t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</si>
  <si>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東貝</t>
    </r>
    <r>
      <rPr>
        <sz val="12"/>
        <rFont val="Arial"/>
        <charset val="134"/>
      </rPr>
      <t>)-2.9V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</si>
  <si>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東貝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</si>
  <si>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t>3806(S-東貝)-2.9V MAX-有Zener</t>
  </si>
  <si>
    <t>3806(S-東貝)-3.0V MAX-有Zener</t>
  </si>
  <si>
    <r>
      <rPr>
        <sz val="12"/>
        <rFont val="Arial"/>
        <charset val="134"/>
      </rPr>
      <t>3806(S-</t>
    </r>
    <r>
      <rPr>
        <sz val="12"/>
        <rFont val="新細明體"/>
        <charset val="136"/>
      </rPr>
      <t>聚飛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</si>
  <si>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3806(Nitrides-</t>
    </r>
    <r>
      <rPr>
        <sz val="12"/>
        <rFont val="細明體"/>
        <charset val="136"/>
      </rPr>
      <t>聚飛</t>
    </r>
    <r>
      <rPr>
        <sz val="12"/>
        <rFont val="Arial"/>
        <charset val="134"/>
      </rPr>
      <t>)-2.9V MAX-</t>
    </r>
    <r>
      <rPr>
        <sz val="12"/>
        <rFont val="細明體"/>
        <charset val="136"/>
      </rPr>
      <t>無</t>
    </r>
    <r>
      <rPr>
        <sz val="12"/>
        <rFont val="Arial"/>
        <charset val="134"/>
      </rPr>
      <t>Zener</t>
    </r>
  </si>
  <si>
    <t>3804(S-聚飛)-2.9V MAX-無Zener</t>
  </si>
  <si>
    <t>3804(S-聚飛)-3.0V MAX-無Zener</t>
  </si>
  <si>
    <r>
      <rPr>
        <sz val="12"/>
        <rFont val="Arial"/>
        <charset val="134"/>
      </rPr>
      <t>3006(S-</t>
    </r>
    <r>
      <rPr>
        <sz val="12"/>
        <rFont val="新細明體"/>
        <charset val="136"/>
      </rPr>
      <t>聚飛</t>
    </r>
    <r>
      <rPr>
        <sz val="12"/>
        <rFont val="Arial"/>
        <charset val="134"/>
      </rPr>
      <t>)-3.0V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</si>
  <si>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3006(S-</t>
    </r>
    <r>
      <rPr>
        <sz val="12"/>
        <rFont val="新細明體"/>
        <charset val="136"/>
      </rPr>
      <t>聚飛</t>
    </r>
    <r>
      <rPr>
        <sz val="12"/>
        <rFont val="Arial"/>
        <charset val="134"/>
      </rPr>
      <t>)-3.1V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</si>
  <si>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3006(S-</t>
    </r>
    <r>
      <rPr>
        <sz val="12"/>
        <rFont val="新細明體"/>
        <charset val="136"/>
      </rPr>
      <t>聚飛</t>
    </r>
    <r>
      <rPr>
        <sz val="12"/>
        <rFont val="Arial"/>
        <charset val="134"/>
      </rPr>
      <t>)-3.2V MAX-</t>
    </r>
    <r>
      <rPr>
        <sz val="12"/>
        <rFont val="新細明體"/>
        <charset val="136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</si>
  <si>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3006(KSF+β-sailon(540)-</t>
    </r>
    <r>
      <rPr>
        <sz val="12"/>
        <rFont val="宋体"/>
        <charset val="134"/>
      </rPr>
      <t>聚飛</t>
    </r>
    <r>
      <rPr>
        <sz val="12"/>
        <rFont val="Arial"/>
        <charset val="134"/>
      </rPr>
      <t>)-2.9V MAX-</t>
    </r>
    <r>
      <rPr>
        <sz val="12"/>
        <rFont val="宋体"/>
        <charset val="134"/>
      </rPr>
      <t>無</t>
    </r>
    <r>
      <rPr>
        <sz val="12"/>
        <rFont val="Arial"/>
        <charset val="134"/>
      </rPr>
      <t>Zener</t>
    </r>
  </si>
  <si>
    <r>
      <rPr>
        <sz val="12"/>
        <rFont val="Arial"/>
        <charset val="134"/>
      </rPr>
      <t>3006(KSF+β-sailon(540)-</t>
    </r>
    <r>
      <rPr>
        <sz val="12"/>
        <rFont val="宋体"/>
        <charset val="134"/>
      </rPr>
      <t>聚飛</t>
    </r>
    <r>
      <rPr>
        <sz val="12"/>
        <rFont val="Arial"/>
        <charset val="134"/>
      </rPr>
      <t>)-3.0V MAX-</t>
    </r>
    <r>
      <rPr>
        <sz val="12"/>
        <rFont val="宋体"/>
        <charset val="134"/>
      </rPr>
      <t>無</t>
    </r>
    <r>
      <rPr>
        <sz val="12"/>
        <rFont val="Arial"/>
        <charset val="134"/>
      </rPr>
      <t>Zener</t>
    </r>
  </si>
  <si>
    <t xml:space="preserve">                     電壓(V)
電流(mA)</t>
  </si>
  <si>
    <t>Vmax</t>
  </si>
  <si>
    <t xml:space="preserve"> 串數*顆數</t>
  </si>
  <si>
    <t>判斷串數與顆數</t>
  </si>
  <si>
    <t>效率</t>
  </si>
  <si>
    <t>條件：Vin=12V，單顆LED壓降=2.9V，DC mode。
注：不考慮DC mode下電流變化導致LED壓降變化的問題。</t>
  </si>
  <si>
    <t>串數</t>
  </si>
  <si>
    <t xml:space="preserve">         顆數  </t>
  </si>
  <si>
    <t>PWMIN duty</t>
  </si>
  <si>
    <t xml:space="preserve">                 串數*顆數
Iset電流（mA）</t>
  </si>
  <si>
    <t>3*8</t>
  </si>
  <si>
    <t>3*9</t>
  </si>
  <si>
    <t>3*10</t>
  </si>
  <si>
    <t>3*11</t>
  </si>
  <si>
    <t>3*12</t>
  </si>
  <si>
    <t>3*13</t>
  </si>
  <si>
    <t>4*8</t>
  </si>
  <si>
    <t>4*9</t>
  </si>
  <si>
    <t>4*10</t>
  </si>
  <si>
    <t>4*11</t>
  </si>
  <si>
    <t>4*12</t>
  </si>
  <si>
    <t>4*13</t>
  </si>
  <si>
    <t>5*8</t>
  </si>
  <si>
    <t>5*9</t>
  </si>
  <si>
    <t>5*10</t>
  </si>
  <si>
    <t>5*11</t>
  </si>
  <si>
    <t>5*12</t>
  </si>
  <si>
    <t>5*13</t>
  </si>
  <si>
    <t>6*8</t>
  </si>
  <si>
    <t>6*9</t>
  </si>
  <si>
    <t>6*10</t>
  </si>
  <si>
    <t>6*11</t>
  </si>
  <si>
    <t>6*12</t>
  </si>
  <si>
    <t>6*13</t>
  </si>
  <si>
    <t>3*4</t>
  </si>
  <si>
    <t>3*5</t>
  </si>
  <si>
    <t>3*6</t>
  </si>
  <si>
    <t>4*4</t>
  </si>
  <si>
    <t>4*5</t>
  </si>
  <si>
    <t>4*6</t>
  </si>
  <si>
    <t>5*4</t>
  </si>
  <si>
    <t>5*5</t>
  </si>
  <si>
    <t>5*6</t>
  </si>
  <si>
    <t>6*4</t>
  </si>
  <si>
    <t>6*5</t>
  </si>
  <si>
    <t>6*6</t>
  </si>
  <si>
    <t>4*5或5*4</t>
  </si>
  <si>
    <t>3*12或4*9</t>
  </si>
  <si>
    <t>4*6或6*4</t>
  </si>
  <si>
    <t>5*8或4*10</t>
  </si>
  <si>
    <t>7*4</t>
  </si>
  <si>
    <t>5*6或6*5</t>
  </si>
  <si>
    <t>4*12或6*8</t>
  </si>
  <si>
    <t>8*4</t>
  </si>
  <si>
    <t>7*5</t>
  </si>
  <si>
    <t>6*6或9*4</t>
  </si>
  <si>
    <t>10*4或8*5</t>
  </si>
  <si>
    <t>5*12或6*10</t>
  </si>
  <si>
    <t>7*6</t>
  </si>
  <si>
    <t>11*4</t>
  </si>
  <si>
    <t>9*5</t>
  </si>
  <si>
    <t>12*4或8*6</t>
  </si>
  <si>
    <t>10*5</t>
  </si>
  <si>
    <t>9*6</t>
  </si>
  <si>
    <t>11*5</t>
  </si>
  <si>
    <t>12*5或10*6</t>
  </si>
  <si>
    <t>11*6</t>
  </si>
  <si>
    <t>12*6</t>
  </si>
  <si>
    <t>85.63.%</t>
  </si>
  <si>
    <t>Panel 類型</t>
  </si>
  <si>
    <t>Cell NO.</t>
  </si>
  <si>
    <t>解析度</t>
  </si>
  <si>
    <t>顯示模式</t>
  </si>
  <si>
    <t>圖元電壓</t>
  </si>
  <si>
    <t>a-si
/oxside</t>
  </si>
  <si>
    <t>上POL</t>
  </si>
  <si>
    <t>下POL</t>
  </si>
  <si>
    <t>Cell Gap</t>
  </si>
  <si>
    <t>液晶</t>
  </si>
  <si>
    <t>設計TYP</t>
  </si>
  <si>
    <t>設計TYP updated</t>
  </si>
  <si>
    <t>監控最大值</t>
  </si>
  <si>
    <t>監控最小值</t>
  </si>
  <si>
    <t>監控平均值</t>
  </si>
  <si>
    <t>B3</t>
  </si>
  <si>
    <t>15.6FHD 144Hz N4G聯想向(MP)</t>
  </si>
  <si>
    <t>B3P156FH4VP04-P</t>
  </si>
  <si>
    <t>72%NTSC</t>
  </si>
  <si>
    <t>聚飛Silicate 右上</t>
  </si>
  <si>
    <t>5.5V</t>
  </si>
  <si>
    <t>a-si</t>
  </si>
  <si>
    <t>FineAG</t>
  </si>
  <si>
    <t>APF</t>
  </si>
  <si>
    <r>
      <rPr>
        <sz val="12"/>
        <color theme="1"/>
        <rFont val="微软雅黑"/>
        <charset val="134"/>
      </rPr>
      <t>L</t>
    </r>
    <r>
      <rPr>
        <sz val="11"/>
        <color theme="1"/>
        <rFont val="宋体"/>
        <charset val="134"/>
        <scheme val="minor"/>
      </rPr>
      <t>CCC-17-811</t>
    </r>
  </si>
  <si>
    <t>QE實測23片資料</t>
  </si>
  <si>
    <t>17.3FHD 144Hz N44同方向(MP)</t>
  </si>
  <si>
    <t>B3P173FH5VP01-P</t>
  </si>
  <si>
    <t>QE實測19片資料</t>
  </si>
  <si>
    <t>13.3UHD HADS DCI-P3</t>
  </si>
  <si>
    <t>B3P133QU5VP03-P</t>
  </si>
  <si>
    <t>3840*2160</t>
  </si>
  <si>
    <t>日亞Pbp3b</t>
  </si>
  <si>
    <t>4.9V</t>
  </si>
  <si>
    <t>oxide</t>
  </si>
  <si>
    <t>HC</t>
  </si>
  <si>
    <t>f029</t>
  </si>
  <si>
    <t>14.0UHD HADS 72%NTSC</t>
  </si>
  <si>
    <t>B3P140QU5VP03</t>
  </si>
  <si>
    <t>日亞Pcm4b</t>
  </si>
  <si>
    <t>4.5V</t>
  </si>
  <si>
    <t>AG40</t>
  </si>
  <si>
    <t>14.0UHD HADS 90%DCI-P3</t>
  </si>
  <si>
    <t>B3P140QU5VP03-2</t>
  </si>
  <si>
    <t>90%DCI-P3</t>
  </si>
  <si>
    <t>日亞pcn4h</t>
  </si>
  <si>
    <t>4.8V</t>
  </si>
  <si>
    <t>F029</t>
  </si>
  <si>
    <t>待更新</t>
  </si>
  <si>
    <t>15.6UHD HADS Adobe</t>
  </si>
  <si>
    <t>B3P156QU5VP04</t>
  </si>
  <si>
    <t>Adobe</t>
  </si>
  <si>
    <t>m4b日亞</t>
  </si>
  <si>
    <t>5.1V</t>
  </si>
  <si>
    <t>15.6UHD HADS Srgb</t>
  </si>
  <si>
    <t>B3P156QU5VP05</t>
  </si>
  <si>
    <t>Srgb</t>
  </si>
  <si>
    <t>pbs4h日亞</t>
  </si>
  <si>
    <t>B8</t>
  </si>
  <si>
    <t>13.3HADS 45色域 5.75%</t>
  </si>
  <si>
    <t>B8P133FH4VP04</t>
  </si>
  <si>
    <t>1920*1080</t>
  </si>
  <si>
    <t>4.6V</t>
  </si>
  <si>
    <t>HC/FineAG</t>
  </si>
  <si>
    <t>BOE-F013</t>
  </si>
  <si>
    <t>非Slimming</t>
  </si>
  <si>
    <t>B8P133FH4VP07</t>
  </si>
  <si>
    <t>Slimming，EN中，數據量少</t>
  </si>
  <si>
    <t>13.3HADS 72色域（Low Vop LC） 5.74%</t>
  </si>
  <si>
    <t>B8P133FH4VP06</t>
  </si>
  <si>
    <t>4.0V</t>
  </si>
  <si>
    <t>ZBE5400XX</t>
  </si>
  <si>
    <t>Slimming</t>
  </si>
  <si>
    <t>13.3HADS 72色域 5.74%</t>
  </si>
  <si>
    <t>B8P133FH4VP02</t>
  </si>
  <si>
    <t>B8P133FH4VP03</t>
  </si>
  <si>
    <t>14.0HADS 45色域 6.08%</t>
  </si>
  <si>
    <t>B8P140FH4VP14</t>
  </si>
  <si>
    <t>AG/Fine AG25/Fine AG 40/HC</t>
  </si>
  <si>
    <t>Clear/APF</t>
  </si>
  <si>
    <t>New BM Mask，AR2.5%↓</t>
  </si>
  <si>
    <t>14.0HADS 72色域 非Slimming  5.92%</t>
  </si>
  <si>
    <t>B8P140FH4VP02</t>
  </si>
  <si>
    <t>Fine AG25/AG</t>
  </si>
  <si>
    <t>14.0HADS 72色域 Slimming 5.92%</t>
  </si>
  <si>
    <t>B8P140FH4VP05</t>
  </si>
  <si>
    <t>Fine AG25</t>
  </si>
  <si>
    <t>PAF</t>
  </si>
  <si>
    <t>Old BM Mask</t>
  </si>
  <si>
    <t>14.0FHD HADS SLOC 45色域（未定義Tr）</t>
  </si>
  <si>
    <t>B8P140FH4VP010</t>
  </si>
  <si>
    <t>1920x1080</t>
  </si>
  <si>
    <t>Fine AG</t>
  </si>
  <si>
    <t>Clear</t>
  </si>
  <si>
    <t>大量產出後再更新</t>
  </si>
  <si>
    <t>15.6HADS 45色域 6.08%</t>
  </si>
  <si>
    <t>B8P156FH4VP01</t>
  </si>
  <si>
    <t>Fine AG/HC/Normal AG</t>
  </si>
  <si>
    <t>B8P156FH4VP12</t>
  </si>
  <si>
    <t>MAT-14-1466</t>
  </si>
  <si>
    <t>15.6HADS 72色域 非Slimming 6.10%</t>
  </si>
  <si>
    <t>B8P156FH4VP02</t>
  </si>
  <si>
    <t>B8P156FH4VP13</t>
  </si>
  <si>
    <t>15.6HADS 72色域 Slimming 6.10%</t>
  </si>
  <si>
    <t>B8P156FH4VP04</t>
  </si>
  <si>
    <t>15.6FHD HADS SLOC 45色域</t>
  </si>
  <si>
    <t>B8P156FH4VP06</t>
  </si>
  <si>
    <t>B8P156FH4VP10</t>
  </si>
  <si>
    <t>17.3FHD HADS  72%</t>
  </si>
  <si>
    <t>B8P173FH5VP01</t>
  </si>
  <si>
    <t>17.3FHD HADS  72% 60Hz G-sync MDL產品</t>
  </si>
  <si>
    <t>B8P173FH5VP03</t>
  </si>
  <si>
    <t>17.3FHD HADS  45% 窄邊框新開mask項目</t>
  </si>
  <si>
    <t>B8P173FH4VP02</t>
  </si>
  <si>
    <t>TN</t>
  </si>
  <si>
    <t>11.6  5.6%</t>
  </si>
  <si>
    <t>B8P116WH4TP01</t>
  </si>
  <si>
    <t>1366*768</t>
  </si>
  <si>
    <t>Fine AG 25/AG</t>
  </si>
  <si>
    <t>BOE86101</t>
  </si>
  <si>
    <t>13.3HD GOA  非Slimming</t>
  </si>
  <si>
    <t>B8P133WH4TP01</t>
  </si>
  <si>
    <t>BOE-86101</t>
  </si>
  <si>
    <t>13.3HD GOA  Slimming</t>
  </si>
  <si>
    <t>B8P133WH4TP02</t>
  </si>
  <si>
    <t>14.0HD Normal 7.38%</t>
  </si>
  <si>
    <t>B8P140WH4TP01&amp;03</t>
  </si>
  <si>
    <t>3.8V</t>
  </si>
  <si>
    <t>Fine AG/Normal AG/HC</t>
  </si>
  <si>
    <t>·</t>
  </si>
  <si>
    <t>BOE-T011C</t>
  </si>
  <si>
    <t>高透彩膜導入</t>
  </si>
  <si>
    <t>14.0HD GOA 6.86%</t>
  </si>
  <si>
    <t>B8P140WH4TP02&amp;04</t>
  </si>
  <si>
    <t>14.0FHD TN 45 5.63%</t>
  </si>
  <si>
    <t>B8P140FH4TP01&amp;04</t>
  </si>
  <si>
    <t>14.0FHD TN 60色域 6.5%</t>
  </si>
  <si>
    <t>B8P140FH4TP02&amp;05</t>
  </si>
  <si>
    <t>14.0FHD TN GOA 5.58%</t>
  </si>
  <si>
    <t>B8P140FH4TP03</t>
  </si>
  <si>
    <t>15.6HD  7.25%</t>
  </si>
  <si>
    <t>B8P156WH5TP02</t>
  </si>
  <si>
    <t>Normal AG/HC</t>
  </si>
  <si>
    <t>15.6HD GOA  7.95%</t>
  </si>
  <si>
    <t>B8P156WH4TP01</t>
  </si>
  <si>
    <t>Normal AG/Fine AG/HC</t>
  </si>
  <si>
    <t>15.6HD TN SLOC 未定義</t>
  </si>
  <si>
    <t>B8P156WH5TP05&amp;6</t>
  </si>
  <si>
    <t>15.6FHD Normal 6.3%</t>
  </si>
  <si>
    <t>B8P156FH5TP01</t>
  </si>
  <si>
    <t>15.6FHD TN GOA 6.03%</t>
  </si>
  <si>
    <t>B8P156FH4TP02</t>
  </si>
  <si>
    <t>Normal AG/Fine AG</t>
  </si>
  <si>
    <t>15.6FHD TN SLOC 未定義</t>
  </si>
  <si>
    <t>B8P156FH5TP08</t>
  </si>
</sst>
</file>

<file path=xl/styles.xml><?xml version="1.0" encoding="utf-8"?>
<styleSheet xmlns="http://schemas.openxmlformats.org/spreadsheetml/2006/main">
  <numFmts count="2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"/>
    <numFmt numFmtId="177" formatCode="_ * #,##0.000_ ;_ * \-#,##0.000_ ;_ * &quot;-&quot;??_ ;_ @_ "/>
    <numFmt numFmtId="178" formatCode="#,##0;[Red]&quot;-&quot;#,##0"/>
    <numFmt numFmtId="179" formatCode="_ &quot;\&quot;* #,##0.00_ ;_ &quot;\&quot;* &quot;\&quot;&quot;\&quot;&quot;\&quot;&quot;\&quot;&quot;\&quot;&quot;\&quot;&quot;\&quot;&quot;\&quot;&quot;\&quot;&quot;\&quot;&quot;\&quot;&quot;\&quot;&quot;\&quot;&quot;\&quot;&quot;\&quot;&quot;\&quot;&quot;\&quot;&quot;\&quot;\-#,##0.00_ ;_ &quot;\&quot;* &quot;-&quot;??_ ;_ @_ "/>
    <numFmt numFmtId="180" formatCode="0.000000000000000%"/>
    <numFmt numFmtId="181" formatCode="0.0_ "/>
    <numFmt numFmtId="182" formatCode="0.000&quot; &quot;;[Red]&quot;(&quot;0.000&quot;)&quot;"/>
    <numFmt numFmtId="183" formatCode="0.0000"/>
    <numFmt numFmtId="184" formatCode="0.0000_);[Red]\(0.0000\)"/>
    <numFmt numFmtId="185" formatCode="0.0%"/>
    <numFmt numFmtId="186" formatCode="0.0000%"/>
    <numFmt numFmtId="187" formatCode="0.000_ "/>
    <numFmt numFmtId="188" formatCode="0.0000_ "/>
    <numFmt numFmtId="189" formatCode="0.00_);[Red]\(0.00\)"/>
    <numFmt numFmtId="190" formatCode="0.0_);[Red]\(0.0\)"/>
    <numFmt numFmtId="191" formatCode="0.000000_);[Red]\(0.000000\)"/>
    <numFmt numFmtId="192" formatCode="0_);[Red]\(0\)"/>
    <numFmt numFmtId="193" formatCode="0.00_ "/>
    <numFmt numFmtId="194" formatCode="0.000"/>
    <numFmt numFmtId="195" formatCode="0.000_);[Red]\(0.000\)"/>
    <numFmt numFmtId="196" formatCode="0&quot; &quot;;[Red]&quot;(&quot;0&quot;)&quot;"/>
    <numFmt numFmtId="197" formatCode="0_ "/>
  </numFmts>
  <fonts count="265">
    <font>
      <sz val="11"/>
      <color theme="1"/>
      <name val="宋体"/>
      <charset val="134"/>
      <scheme val="minor"/>
    </font>
    <font>
      <sz val="11"/>
      <color theme="1"/>
      <name val="宋体"/>
      <charset val="136"/>
      <scheme val="minor"/>
    </font>
    <font>
      <sz val="12"/>
      <color theme="1"/>
      <name val="宋体"/>
      <charset val="134"/>
      <scheme val="minor"/>
    </font>
    <font>
      <sz val="12"/>
      <color theme="1"/>
      <name val="微软雅黑"/>
      <charset val="134"/>
    </font>
    <font>
      <sz val="12"/>
      <color theme="1"/>
      <name val="Arial"/>
      <charset val="134"/>
    </font>
    <font>
      <sz val="12"/>
      <color rgb="FF000000"/>
      <name val="微软雅黑"/>
      <charset val="134"/>
    </font>
    <font>
      <sz val="14"/>
      <color theme="1"/>
      <name val="微软雅黑"/>
      <charset val="134"/>
    </font>
    <font>
      <sz val="12"/>
      <color rgb="FF0000FF"/>
      <name val="微软雅黑"/>
      <charset val="134"/>
    </font>
    <font>
      <sz val="12"/>
      <color rgb="FF00B050"/>
      <name val="微软雅黑"/>
      <charset val="134"/>
    </font>
    <font>
      <sz val="11"/>
      <color theme="1"/>
      <name val="宋体"/>
      <charset val="134"/>
      <scheme val="minor"/>
    </font>
    <font>
      <sz val="12"/>
      <name val="Arial"/>
      <charset val="134"/>
    </font>
    <font>
      <sz val="11"/>
      <color theme="1"/>
      <name val="微软雅黑"/>
      <charset val="134"/>
    </font>
    <font>
      <b/>
      <sz val="11"/>
      <color rgb="FF0000CC"/>
      <name val="微软雅黑"/>
      <charset val="134"/>
    </font>
    <font>
      <b/>
      <sz val="11"/>
      <color theme="1"/>
      <name val="微软雅黑"/>
      <charset val="134"/>
    </font>
    <font>
      <b/>
      <sz val="12"/>
      <color theme="1"/>
      <name val="宋体"/>
      <charset val="134"/>
    </font>
    <font>
      <sz val="12"/>
      <color theme="9" tint="-0.249977111117893"/>
      <name val="Arial"/>
      <charset val="134"/>
    </font>
    <font>
      <sz val="12"/>
      <name val="微软雅黑"/>
      <charset val="134"/>
    </font>
    <font>
      <b/>
      <sz val="12"/>
      <color theme="1"/>
      <name val="Arial"/>
      <charset val="134"/>
    </font>
    <font>
      <b/>
      <sz val="12"/>
      <name val="Arial"/>
      <charset val="134"/>
    </font>
    <font>
      <sz val="12"/>
      <color rgb="FF0000CC"/>
      <name val="微软雅黑"/>
      <charset val="134"/>
    </font>
    <font>
      <sz val="12"/>
      <color rgb="FF0000CC"/>
      <name val="Arial"/>
      <charset val="134"/>
    </font>
    <font>
      <sz val="12"/>
      <color rgb="FF1A25FA"/>
      <name val="Arial"/>
      <charset val="134"/>
    </font>
    <font>
      <b/>
      <sz val="12"/>
      <name val="微軟正黑體"/>
      <charset val="136"/>
    </font>
    <font>
      <b/>
      <sz val="12"/>
      <name val="細明體"/>
      <charset val="136"/>
    </font>
    <font>
      <sz val="9"/>
      <color theme="1"/>
      <name val="微软雅黑"/>
      <charset val="134"/>
    </font>
    <font>
      <sz val="12"/>
      <color theme="0" tint="-0.499984740745262"/>
      <name val="微软雅黑"/>
      <charset val="134"/>
    </font>
    <font>
      <sz val="12"/>
      <color rgb="FF1A25FA"/>
      <name val="微软雅黑"/>
      <charset val="134"/>
    </font>
    <font>
      <sz val="9"/>
      <name val="微软雅黑"/>
      <charset val="134"/>
    </font>
    <font>
      <sz val="10"/>
      <name val="微软雅黑"/>
      <charset val="134"/>
    </font>
    <font>
      <sz val="11"/>
      <color theme="1"/>
      <name val="宋体"/>
      <charset val="134"/>
      <scheme val="minor"/>
    </font>
    <font>
      <sz val="11"/>
      <color theme="1"/>
      <name val="Calibri"/>
      <charset val="134"/>
    </font>
    <font>
      <sz val="11"/>
      <color rgb="FF0000CC"/>
      <name val="Calibri"/>
      <charset val="134"/>
    </font>
    <font>
      <b/>
      <sz val="12"/>
      <color theme="1"/>
      <name val="微软雅黑"/>
      <charset val="134"/>
    </font>
    <font>
      <sz val="11"/>
      <color theme="1"/>
      <name val="Arial Unicode MS"/>
      <charset val="134"/>
    </font>
    <font>
      <sz val="11"/>
      <color rgb="FF1A25FA"/>
      <name val="微软雅黑"/>
      <charset val="134"/>
    </font>
    <font>
      <sz val="11"/>
      <name val="微软雅黑"/>
      <charset val="134"/>
    </font>
    <font>
      <sz val="11"/>
      <name val="宋体"/>
      <charset val="134"/>
      <scheme val="minor"/>
    </font>
    <font>
      <sz val="11"/>
      <color rgb="FF0000CC"/>
      <name val="宋体"/>
      <charset val="134"/>
      <scheme val="minor"/>
    </font>
    <font>
      <sz val="12"/>
      <name val="Microsoft YaHei"/>
      <charset val="134"/>
    </font>
    <font>
      <sz val="12"/>
      <name val="微軟正黑體"/>
      <charset val="136"/>
    </font>
    <font>
      <sz val="11"/>
      <name val="宋体"/>
      <charset val="136"/>
      <scheme val="minor"/>
    </font>
    <font>
      <sz val="10"/>
      <color theme="1"/>
      <name val="微软雅黑"/>
      <charset val="134"/>
    </font>
    <font>
      <sz val="11"/>
      <color rgb="FF0000CC"/>
      <name val="微软雅黑"/>
      <charset val="134"/>
    </font>
    <font>
      <sz val="11"/>
      <name val="宋体"/>
      <charset val="134"/>
      <scheme val="minor"/>
    </font>
    <font>
      <sz val="12"/>
      <color theme="1"/>
      <name val="宋体"/>
      <charset val="134"/>
      <scheme val="minor"/>
    </font>
    <font>
      <sz val="14"/>
      <name val="微软雅黑"/>
      <charset val="134"/>
    </font>
    <font>
      <sz val="14"/>
      <color rgb="FF1A25FA"/>
      <name val="微软雅黑"/>
      <charset val="134"/>
    </font>
    <font>
      <sz val="12"/>
      <color theme="1"/>
      <name val="Microsoft YaHei"/>
      <charset val="134"/>
    </font>
    <font>
      <sz val="12"/>
      <color rgb="FFFF0000"/>
      <name val="微软雅黑"/>
      <charset val="134"/>
    </font>
    <font>
      <sz val="12"/>
      <color rgb="FF000000"/>
      <name val="Microsoft YaHei"/>
      <charset val="134"/>
    </font>
    <font>
      <b/>
      <sz val="18"/>
      <name val="宋体"/>
      <charset val="134"/>
      <scheme val="minor"/>
    </font>
    <font>
      <b/>
      <sz val="11"/>
      <color rgb="FF92D050"/>
      <name val="微软雅黑"/>
      <charset val="134"/>
    </font>
    <font>
      <sz val="11"/>
      <color theme="1"/>
      <name val="Arial"/>
      <charset val="134"/>
    </font>
    <font>
      <sz val="11"/>
      <name val="Arial"/>
      <charset val="134"/>
    </font>
    <font>
      <sz val="11"/>
      <color rgb="FF000000"/>
      <name val="Arial"/>
      <charset val="134"/>
    </font>
    <font>
      <b/>
      <sz val="10"/>
      <color rgb="FF000000"/>
      <name val="Arial"/>
      <charset val="134"/>
    </font>
    <font>
      <b/>
      <sz val="11"/>
      <color rgb="FF000000"/>
      <name val="Calibri"/>
      <charset val="134"/>
    </font>
    <font>
      <b/>
      <sz val="10"/>
      <color rgb="FF000000"/>
      <name val="宋体"/>
      <charset val="134"/>
    </font>
    <font>
      <b/>
      <sz val="11"/>
      <name val="Arial"/>
      <charset val="134"/>
    </font>
    <font>
      <b/>
      <sz val="11"/>
      <name val="Calibri"/>
      <charset val="134"/>
    </font>
    <font>
      <b/>
      <sz val="11"/>
      <color rgb="FF000000"/>
      <name val="Arial"/>
      <charset val="134"/>
    </font>
    <font>
      <b/>
      <sz val="11"/>
      <color rgb="FFFF0000"/>
      <name val="宋体"/>
      <charset val="134"/>
    </font>
    <font>
      <b/>
      <sz val="11"/>
      <color rgb="FFFF0000"/>
      <name val="Arial"/>
      <charset val="134"/>
    </font>
    <font>
      <b/>
      <sz val="11"/>
      <color theme="1"/>
      <name val="宋体"/>
      <charset val="134"/>
    </font>
    <font>
      <b/>
      <sz val="11"/>
      <name val="宋体"/>
      <charset val="134"/>
    </font>
    <font>
      <b/>
      <sz val="11"/>
      <color rgb="FF0070C0"/>
      <name val="Calibri"/>
      <charset val="134"/>
    </font>
    <font>
      <b/>
      <sz val="11"/>
      <color rgb="FFFF0000"/>
      <name val="Calibri"/>
      <charset val="134"/>
    </font>
    <font>
      <b/>
      <sz val="11"/>
      <color rgb="FF000000"/>
      <name val="宋体"/>
      <charset val="134"/>
    </font>
    <font>
      <b/>
      <sz val="11"/>
      <color rgb="FF0000FF"/>
      <name val="Calibri"/>
      <charset val="134"/>
    </font>
    <font>
      <sz val="11"/>
      <name val="Calibri"/>
      <charset val="134"/>
    </font>
    <font>
      <sz val="11"/>
      <name val="宋体"/>
      <charset val="134"/>
    </font>
    <font>
      <sz val="11"/>
      <color rgb="FF000000"/>
      <name val="宋体"/>
      <charset val="134"/>
    </font>
    <font>
      <sz val="11"/>
      <color rgb="FF000000"/>
      <name val="Calibri"/>
      <charset val="134"/>
    </font>
    <font>
      <sz val="11"/>
      <color rgb="FF000000"/>
      <name val="微软雅黑"/>
      <charset val="134"/>
    </font>
    <font>
      <sz val="11"/>
      <color theme="1"/>
      <name val="宋体"/>
      <charset val="134"/>
    </font>
    <font>
      <sz val="11"/>
      <name val="Calibri"/>
      <charset val="136"/>
    </font>
    <font>
      <b/>
      <sz val="11"/>
      <color rgb="FF0000CC"/>
      <name val="Calibri"/>
      <charset val="134"/>
    </font>
    <font>
      <sz val="11"/>
      <color theme="1"/>
      <name val="宋体"/>
      <charset val="134"/>
      <scheme val="major"/>
    </font>
    <font>
      <sz val="11"/>
      <color rgb="FF000000"/>
      <name val="宋体"/>
      <charset val="134"/>
      <scheme val="major"/>
    </font>
    <font>
      <b/>
      <sz val="10"/>
      <color theme="1"/>
      <name val="微软雅黑"/>
      <charset val="134"/>
    </font>
    <font>
      <sz val="10"/>
      <color rgb="FF0070C0"/>
      <name val="微软雅黑"/>
      <charset val="134"/>
    </font>
    <font>
      <sz val="10"/>
      <color rgb="FFFF0000"/>
      <name val="微软雅黑"/>
      <charset val="134"/>
    </font>
    <font>
      <sz val="14"/>
      <color theme="1"/>
      <name val="宋体"/>
      <charset val="134"/>
      <scheme val="minor"/>
    </font>
    <font>
      <b/>
      <sz val="14"/>
      <color theme="1"/>
      <name val="微软雅黑"/>
      <charset val="134"/>
    </font>
    <font>
      <b/>
      <sz val="14"/>
      <color theme="1"/>
      <name val="宋体"/>
      <charset val="134"/>
      <scheme val="minor"/>
    </font>
    <font>
      <sz val="16"/>
      <color theme="1"/>
      <name val="微软雅黑"/>
      <charset val="134"/>
    </font>
    <font>
      <b/>
      <sz val="14"/>
      <color theme="1"/>
      <name val="宋体"/>
      <charset val="134"/>
      <scheme val="minor"/>
    </font>
    <font>
      <sz val="14"/>
      <name val="宋体"/>
      <charset val="134"/>
      <scheme val="minor"/>
    </font>
    <font>
      <sz val="14"/>
      <color rgb="FF0070C0"/>
      <name val="宋体"/>
      <charset val="134"/>
      <scheme val="minor"/>
    </font>
    <font>
      <sz val="14"/>
      <color rgb="FFFF0000"/>
      <name val="宋体"/>
      <charset val="134"/>
      <scheme val="minor"/>
    </font>
    <font>
      <sz val="14"/>
      <name val="宋体"/>
      <charset val="134"/>
      <scheme val="minor"/>
    </font>
    <font>
      <b/>
      <sz val="18"/>
      <color theme="1"/>
      <name val="宋体"/>
      <charset val="134"/>
      <scheme val="minor"/>
    </font>
    <font>
      <sz val="15"/>
      <color rgb="FF000000"/>
      <name val="微软雅黑"/>
      <charset val="134"/>
    </font>
    <font>
      <sz val="10"/>
      <color rgb="FF000000"/>
      <name val="微软雅黑"/>
      <charset val="134"/>
    </font>
    <font>
      <sz val="15"/>
      <color theme="1"/>
      <name val="微软雅黑"/>
      <charset val="134"/>
    </font>
    <font>
      <b/>
      <sz val="8"/>
      <color rgb="FF000000"/>
      <name val="微软雅黑"/>
      <charset val="134"/>
    </font>
    <font>
      <sz val="8"/>
      <name val="Arial"/>
      <charset val="134"/>
    </font>
    <font>
      <sz val="8"/>
      <name val="宋体"/>
      <charset val="134"/>
    </font>
    <font>
      <sz val="18"/>
      <name val="Arial"/>
      <charset val="134"/>
    </font>
    <font>
      <sz val="8"/>
      <color rgb="FF000000"/>
      <name val="Arial"/>
      <charset val="134"/>
    </font>
    <font>
      <sz val="8"/>
      <color rgb="FF000000"/>
      <name val="Arial Unicode MS"/>
      <charset val="134"/>
    </font>
    <font>
      <b/>
      <sz val="8"/>
      <color rgb="FF000000"/>
      <name val="Arial"/>
      <charset val="134"/>
    </font>
    <font>
      <b/>
      <sz val="9"/>
      <color rgb="FF000000"/>
      <name val="Arial"/>
      <charset val="134"/>
    </font>
    <font>
      <sz val="9"/>
      <color rgb="FF000000"/>
      <name val="Calibri"/>
      <charset val="134"/>
    </font>
    <font>
      <sz val="9"/>
      <color rgb="FF000000"/>
      <name val="微软雅黑"/>
      <charset val="134"/>
    </font>
    <font>
      <sz val="9"/>
      <color rgb="FF000000"/>
      <name val="宋体"/>
      <charset val="134"/>
    </font>
    <font>
      <sz val="8"/>
      <color rgb="FF000000"/>
      <name val="微软雅黑"/>
      <charset val="134"/>
    </font>
    <font>
      <b/>
      <sz val="10"/>
      <color rgb="FF000000"/>
      <name val="微软雅黑"/>
      <charset val="134"/>
    </font>
    <font>
      <b/>
      <sz val="8"/>
      <name val="微软雅黑"/>
      <charset val="134"/>
    </font>
    <font>
      <sz val="8"/>
      <color rgb="FF0000FF"/>
      <name val="Arial"/>
      <charset val="134"/>
    </font>
    <font>
      <b/>
      <sz val="10"/>
      <name val="微软雅黑"/>
      <charset val="134"/>
    </font>
    <font>
      <sz val="10"/>
      <name val="Calibri"/>
      <charset val="134"/>
    </font>
    <font>
      <sz val="10"/>
      <color theme="1"/>
      <name val="Calibri"/>
      <charset val="134"/>
    </font>
    <font>
      <sz val="18"/>
      <color theme="1"/>
      <name val="宋体"/>
      <charset val="134"/>
      <scheme val="minor"/>
    </font>
    <font>
      <sz val="18"/>
      <color theme="1"/>
      <name val="宋体"/>
      <charset val="134"/>
      <scheme val="minor"/>
    </font>
    <font>
      <sz val="10"/>
      <color rgb="FF0000FF"/>
      <name val="微软雅黑"/>
      <charset val="134"/>
    </font>
    <font>
      <sz val="10"/>
      <color theme="1"/>
      <name val="宋体"/>
      <charset val="134"/>
      <scheme val="minor"/>
    </font>
    <font>
      <sz val="20"/>
      <color theme="1"/>
      <name val="宋体"/>
      <charset val="134"/>
      <scheme val="minor"/>
    </font>
    <font>
      <sz val="20"/>
      <color theme="1"/>
      <name val="宋体"/>
      <charset val="134"/>
      <scheme val="minor"/>
    </font>
    <font>
      <sz val="9"/>
      <color rgb="FF0000FF"/>
      <name val="微软雅黑"/>
      <charset val="134"/>
    </font>
    <font>
      <sz val="10"/>
      <color theme="1"/>
      <name val="宋体"/>
      <charset val="134"/>
    </font>
    <font>
      <sz val="10"/>
      <color rgb="FF1A25FA"/>
      <name val="微软雅黑"/>
      <charset val="134"/>
    </font>
    <font>
      <sz val="9"/>
      <color rgb="FF1A25FA"/>
      <name val="微软雅黑"/>
      <charset val="134"/>
    </font>
    <font>
      <sz val="9"/>
      <color theme="1"/>
      <name val="Calibri"/>
      <charset val="134"/>
    </font>
    <font>
      <sz val="11"/>
      <color indexed="8"/>
      <name val="宋体"/>
      <charset val="134"/>
    </font>
    <font>
      <b/>
      <sz val="11"/>
      <color theme="1"/>
      <name val="Calibri"/>
      <charset val="134"/>
    </font>
    <font>
      <sz val="11"/>
      <color indexed="8"/>
      <name val="Calibri"/>
      <charset val="134"/>
    </font>
    <font>
      <sz val="16"/>
      <color theme="1"/>
      <name val="Calibri"/>
      <charset val="134"/>
    </font>
    <font>
      <sz val="16"/>
      <color theme="1"/>
      <name val="宋体"/>
      <charset val="134"/>
      <scheme val="minor"/>
    </font>
    <font>
      <sz val="16"/>
      <color theme="1"/>
      <name val="宋体"/>
      <charset val="134"/>
      <scheme val="minor"/>
    </font>
    <font>
      <sz val="10"/>
      <color rgb="FF0000CC"/>
      <name val="微软雅黑"/>
      <charset val="134"/>
    </font>
    <font>
      <b/>
      <sz val="10"/>
      <color rgb="FF0000CC"/>
      <name val="Calibri"/>
      <charset val="134"/>
    </font>
    <font>
      <sz val="11"/>
      <color rgb="FF0000CC"/>
      <name val="宋体"/>
      <charset val="134"/>
    </font>
    <font>
      <sz val="11"/>
      <color theme="1"/>
      <name val="Calibri"/>
      <charset val="136"/>
    </font>
    <font>
      <sz val="9"/>
      <color rgb="FF0000CC"/>
      <name val="宋体"/>
      <charset val="134"/>
    </font>
    <font>
      <sz val="8"/>
      <color theme="1"/>
      <name val="Calibri"/>
      <charset val="134"/>
    </font>
    <font>
      <b/>
      <sz val="10"/>
      <name val="Calibri"/>
      <charset val="134"/>
    </font>
    <font>
      <b/>
      <sz val="11"/>
      <color theme="1"/>
      <name val="Arial"/>
      <charset val="134"/>
    </font>
    <font>
      <sz val="8"/>
      <color theme="1"/>
      <name val="微软雅黑"/>
      <charset val="134"/>
    </font>
    <font>
      <sz val="9"/>
      <color rgb="FFFF0000"/>
      <name val="微软雅黑"/>
      <charset val="134"/>
    </font>
    <font>
      <sz val="8"/>
      <name val="微软雅黑"/>
      <charset val="134"/>
    </font>
    <font>
      <b/>
      <sz val="9"/>
      <name val="微软雅黑"/>
      <charset val="134"/>
    </font>
    <font>
      <b/>
      <sz val="9"/>
      <color theme="1"/>
      <name val="微软雅黑"/>
      <charset val="134"/>
    </font>
    <font>
      <sz val="8"/>
      <color theme="0" tint="-0.499984740745262"/>
      <name val="微软雅黑"/>
      <charset val="134"/>
    </font>
    <font>
      <b/>
      <sz val="8"/>
      <color theme="1"/>
      <name val="微软雅黑"/>
      <charset val="134"/>
    </font>
    <font>
      <b/>
      <sz val="8"/>
      <color theme="0" tint="-0.499984740745262"/>
      <name val="微软雅黑"/>
      <charset val="134"/>
    </font>
    <font>
      <sz val="10"/>
      <name val="宋体"/>
      <charset val="134"/>
    </font>
    <font>
      <sz val="9"/>
      <color theme="1"/>
      <name val="宋体"/>
      <charset val="134"/>
      <scheme val="minor"/>
    </font>
    <font>
      <u/>
      <sz val="11"/>
      <color theme="10"/>
      <name val="宋体"/>
      <charset val="134"/>
      <scheme val="minor"/>
    </font>
    <font>
      <sz val="11"/>
      <color indexed="9"/>
      <name val="맑은 고딕"/>
      <charset val="134"/>
    </font>
    <font>
      <sz val="11"/>
      <color rgb="FFFFFFFF"/>
      <name val="맑은 고딕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2"/>
      <name val="新細明體"/>
      <charset val="136"/>
    </font>
    <font>
      <sz val="11"/>
      <color rgb="FFFF9900"/>
      <name val="맑은 고딕"/>
      <charset val="134"/>
    </font>
    <font>
      <sz val="11"/>
      <color rgb="FF9C0006"/>
      <name val="宋体"/>
      <charset val="0"/>
      <scheme val="minor"/>
    </font>
    <font>
      <sz val="10"/>
      <name val="Arial"/>
      <charset val="134"/>
    </font>
    <font>
      <sz val="11"/>
      <color theme="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000000"/>
      <name val="맑은 고딕"/>
      <charset val="134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name val="돋움"/>
      <charset val="134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2"/>
      <color rgb="FF000000"/>
      <name val="新細明體"/>
      <charset val="134"/>
    </font>
    <font>
      <b/>
      <sz val="11"/>
      <color rgb="FFFFFFFF"/>
      <name val="宋体"/>
      <charset val="0"/>
      <scheme val="minor"/>
    </font>
    <font>
      <sz val="11"/>
      <name val="ＭＳ Ｐゴシック"/>
      <charset val="128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indexed="20"/>
      <name val="新細明體"/>
      <charset val="134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sz val="12"/>
      <color rgb="FF000000"/>
      <name val="宋体"/>
      <charset val="134"/>
    </font>
    <font>
      <b/>
      <sz val="18"/>
      <color rgb="FF003366"/>
      <name val="맑은 고딕"/>
      <charset val="134"/>
    </font>
    <font>
      <sz val="11"/>
      <color indexed="8"/>
      <name val="新細明體"/>
      <charset val="134"/>
    </font>
    <font>
      <sz val="11"/>
      <color indexed="8"/>
      <name val="맑은 고딕"/>
      <charset val="134"/>
    </font>
    <font>
      <b/>
      <sz val="11"/>
      <color indexed="63"/>
      <name val="맑은 고딕"/>
      <charset val="134"/>
    </font>
    <font>
      <sz val="11"/>
      <color indexed="60"/>
      <name val="宋体"/>
      <charset val="134"/>
    </font>
    <font>
      <sz val="11"/>
      <color rgb="FFFF0000"/>
      <name val="맑은 고딕"/>
      <charset val="134"/>
    </font>
    <font>
      <sz val="11"/>
      <color indexed="8"/>
      <name val="宋体"/>
      <charset val="134"/>
    </font>
    <font>
      <b/>
      <sz val="11"/>
      <color indexed="52"/>
      <name val="맑은 고딕"/>
      <charset val="134"/>
    </font>
    <font>
      <b/>
      <sz val="11"/>
      <color rgb="FF333333"/>
      <name val="맑은 고딕"/>
      <charset val="134"/>
    </font>
    <font>
      <sz val="11"/>
      <color rgb="FFFF0000"/>
      <name val="宋体"/>
      <charset val="134"/>
    </font>
    <font>
      <sz val="12"/>
      <name val="宋体"/>
      <charset val="134"/>
    </font>
    <font>
      <sz val="11"/>
      <color rgb="FFA6A6A6"/>
      <name val="宋体"/>
      <charset val="134"/>
    </font>
    <font>
      <sz val="11"/>
      <color indexed="8"/>
      <name val="新細明體"/>
      <charset val="134"/>
    </font>
    <font>
      <b/>
      <sz val="12"/>
      <color rgb="FF000000"/>
      <name val="Arial"/>
      <charset val="134"/>
    </font>
    <font>
      <sz val="10"/>
      <name val="Helv"/>
      <charset val="134"/>
    </font>
    <font>
      <sz val="10"/>
      <color rgb="FF000000"/>
      <name val="Helv"/>
      <charset val="134"/>
    </font>
    <font>
      <sz val="11"/>
      <name val="ＭＳ Ｐゴシック"/>
      <charset val="134"/>
    </font>
    <font>
      <sz val="11"/>
      <color indexed="17"/>
      <name val="新細明體"/>
      <charset val="134"/>
    </font>
    <font>
      <u/>
      <sz val="11"/>
      <color theme="10"/>
      <name val="宋体"/>
      <charset val="134"/>
      <scheme val="minor"/>
    </font>
    <font>
      <sz val="11"/>
      <color indexed="10"/>
      <name val="맑은 고딕"/>
      <charset val="134"/>
    </font>
    <font>
      <b/>
      <sz val="11"/>
      <color rgb="FFFF9900"/>
      <name val="맑은 고딕"/>
      <charset val="134"/>
    </font>
    <font>
      <sz val="11"/>
      <color indexed="20"/>
      <name val="宋体"/>
      <charset val="134"/>
    </font>
    <font>
      <sz val="11"/>
      <color indexed="17"/>
      <name val="宋体"/>
      <charset val="134"/>
    </font>
    <font>
      <sz val="11"/>
      <color indexed="20"/>
      <name val="新細明體"/>
      <charset val="134"/>
    </font>
    <font>
      <sz val="11"/>
      <color rgb="FF008000"/>
      <name val="맑은 고딕"/>
      <charset val="134"/>
    </font>
    <font>
      <b/>
      <sz val="18"/>
      <color indexed="56"/>
      <name val="맑은 고딕"/>
      <charset val="134"/>
    </font>
    <font>
      <sz val="11"/>
      <color rgb="FF000000"/>
      <name val="돋움"/>
      <charset val="134"/>
    </font>
    <font>
      <sz val="11"/>
      <name val="돋움"/>
      <charset val="129"/>
    </font>
    <font>
      <sz val="11"/>
      <color indexed="62"/>
      <name val="맑은 고딕"/>
      <charset val="134"/>
    </font>
    <font>
      <sz val="11"/>
      <color rgb="FF993300"/>
      <name val="맑은 고딕"/>
      <charset val="134"/>
    </font>
    <font>
      <sz val="10"/>
      <color rgb="FF000000"/>
      <name val="Arial"/>
      <charset val="134"/>
    </font>
    <font>
      <u/>
      <sz val="11"/>
      <color rgb="FF0000FF"/>
      <name val="宋体"/>
      <charset val="134"/>
    </font>
    <font>
      <u/>
      <sz val="11"/>
      <color theme="10"/>
      <name val="宋体"/>
      <charset val="134"/>
    </font>
    <font>
      <u/>
      <sz val="11"/>
      <color indexed="12"/>
      <name val="宋体"/>
      <charset val="134"/>
    </font>
    <font>
      <u/>
      <sz val="10"/>
      <color indexed="12"/>
      <name val="Arial"/>
      <charset val="134"/>
    </font>
    <font>
      <sz val="11"/>
      <color indexed="20"/>
      <name val="맑은 고딕"/>
      <charset val="134"/>
    </font>
    <font>
      <sz val="11"/>
      <color rgb="FF800080"/>
      <name val="맑은 고딕"/>
      <charset val="134"/>
    </font>
    <font>
      <sz val="11"/>
      <color indexed="17"/>
      <name val="新細明體"/>
      <charset val="134"/>
    </font>
    <font>
      <sz val="11"/>
      <color indexed="9"/>
      <name val="宋体"/>
      <charset val="134"/>
    </font>
    <font>
      <sz val="11"/>
      <color indexed="8"/>
      <name val="新細明體"/>
      <charset val="136"/>
    </font>
    <font>
      <sz val="11"/>
      <color indexed="8"/>
      <name val="新細明體"/>
      <charset val="134"/>
    </font>
    <font>
      <sz val="11"/>
      <color rgb="FF000000"/>
      <name val="新細明體"/>
      <charset val="134"/>
    </font>
    <font>
      <sz val="11"/>
      <color indexed="17"/>
      <name val="맑은 고딕"/>
      <charset val="134"/>
    </font>
    <font>
      <sz val="11"/>
      <color theme="0"/>
      <name val="宋体"/>
      <charset val="134"/>
      <scheme val="minor"/>
    </font>
    <font>
      <sz val="11"/>
      <color indexed="60"/>
      <name val="맑은 고딕"/>
      <charset val="134"/>
    </font>
    <font>
      <sz val="11"/>
      <name val="뼞?¨I"/>
      <charset val="129"/>
    </font>
    <font>
      <i/>
      <sz val="11"/>
      <color indexed="23"/>
      <name val="맑은 고딕"/>
      <charset val="134"/>
    </font>
    <font>
      <sz val="11"/>
      <color indexed="52"/>
      <name val="맑은 고딕"/>
      <charset val="134"/>
    </font>
    <font>
      <i/>
      <sz val="11"/>
      <color rgb="FF808080"/>
      <name val="맑은 고딕"/>
      <charset val="134"/>
    </font>
    <font>
      <b/>
      <sz val="11"/>
      <color indexed="9"/>
      <name val="맑은 고딕"/>
      <charset val="134"/>
    </font>
    <font>
      <b/>
      <sz val="11"/>
      <color rgb="FFFFFFFF"/>
      <name val="맑은 고딕"/>
      <charset val="134"/>
    </font>
    <font>
      <b/>
      <sz val="11"/>
      <color indexed="8"/>
      <name val="맑은 고딕"/>
      <charset val="134"/>
    </font>
    <font>
      <b/>
      <sz val="11"/>
      <color rgb="FF000000"/>
      <name val="맑은 고딕"/>
      <charset val="134"/>
    </font>
    <font>
      <sz val="11"/>
      <color rgb="FF333399"/>
      <name val="맑은 고딕"/>
      <charset val="134"/>
    </font>
    <font>
      <b/>
      <sz val="15"/>
      <color indexed="56"/>
      <name val="맑은 고딕"/>
      <charset val="134"/>
    </font>
    <font>
      <b/>
      <sz val="15"/>
      <color rgb="FF003366"/>
      <name val="맑은 고딕"/>
      <charset val="134"/>
    </font>
    <font>
      <b/>
      <sz val="13"/>
      <color indexed="56"/>
      <name val="맑은 고딕"/>
      <charset val="134"/>
    </font>
    <font>
      <b/>
      <sz val="13"/>
      <color rgb="FF003366"/>
      <name val="맑은 고딕"/>
      <charset val="134"/>
    </font>
    <font>
      <b/>
      <sz val="11"/>
      <color indexed="56"/>
      <name val="맑은 고딕"/>
      <charset val="134"/>
    </font>
    <font>
      <b/>
      <sz val="11"/>
      <color rgb="FF003366"/>
      <name val="맑은 고딕"/>
      <charset val="134"/>
    </font>
    <font>
      <sz val="12"/>
      <name val="바탕체"/>
      <charset val="134"/>
    </font>
    <font>
      <sz val="10"/>
      <name val="굴림"/>
      <charset val="134"/>
    </font>
    <font>
      <b/>
      <sz val="12"/>
      <name val="微软雅黑"/>
      <charset val="134"/>
    </font>
    <font>
      <b/>
      <sz val="12"/>
      <name val="宋体"/>
      <charset val="134"/>
    </font>
    <font>
      <sz val="12"/>
      <name val="細明體"/>
      <charset val="136"/>
    </font>
    <font>
      <sz val="12"/>
      <name val="細明體"/>
      <charset val="136"/>
    </font>
    <font>
      <sz val="12"/>
      <color theme="1"/>
      <name val="新細明體"/>
      <charset val="136"/>
    </font>
    <font>
      <vertAlign val="superscript"/>
      <sz val="12"/>
      <color theme="0" tint="-0.499984740745262"/>
      <name val="微软雅黑"/>
      <charset val="134"/>
    </font>
    <font>
      <vertAlign val="superscript"/>
      <sz val="12"/>
      <name val="微软雅黑"/>
      <charset val="134"/>
    </font>
    <font>
      <b/>
      <vertAlign val="superscript"/>
      <sz val="11"/>
      <color theme="1"/>
      <name val="微软雅黑"/>
      <charset val="134"/>
    </font>
    <font>
      <vertAlign val="superscript"/>
      <sz val="11"/>
      <color theme="1"/>
      <name val="Arial Unicode MS"/>
      <charset val="134"/>
    </font>
    <font>
      <u/>
      <sz val="11"/>
      <color theme="1"/>
      <name val="微软雅黑"/>
      <charset val="134"/>
    </font>
    <font>
      <b/>
      <sz val="11"/>
      <name val="微软雅黑"/>
      <charset val="134"/>
    </font>
    <font>
      <b/>
      <sz val="11"/>
      <color rgb="FF000000"/>
      <name val="微软雅黑"/>
      <charset val="134"/>
    </font>
    <font>
      <b/>
      <sz val="11"/>
      <color rgb="FF0000FF"/>
      <name val="Arial"/>
      <charset val="134"/>
    </font>
    <font>
      <b/>
      <sz val="11"/>
      <color rgb="FF0000FF"/>
      <name val="宋体"/>
      <charset val="134"/>
    </font>
    <font>
      <sz val="11"/>
      <color rgb="FF000000"/>
      <name val="微軟正黑體"/>
      <charset val="134"/>
    </font>
    <font>
      <b/>
      <sz val="16"/>
      <color rgb="FF0000CC"/>
      <name val="宋体"/>
      <charset val="134"/>
    </font>
    <font>
      <b/>
      <sz val="11"/>
      <color rgb="FF0000CC"/>
      <name val="宋体"/>
      <charset val="134"/>
    </font>
    <font>
      <sz val="11"/>
      <color theme="1"/>
      <name val="新細明體"/>
      <charset val="136"/>
    </font>
    <font>
      <sz val="11"/>
      <color theme="1"/>
      <name val="細明體"/>
      <charset val="136"/>
    </font>
    <font>
      <sz val="11"/>
      <color theme="1"/>
      <name val="微軟正黑體"/>
      <charset val="136"/>
    </font>
    <font>
      <sz val="8"/>
      <color theme="1"/>
      <name val="宋体"/>
      <charset val="134"/>
    </font>
    <font>
      <b/>
      <sz val="10"/>
      <name val="宋体"/>
      <charset val="134"/>
    </font>
    <font>
      <sz val="9"/>
      <name val="宋体"/>
      <charset val="134"/>
    </font>
    <font>
      <b/>
      <sz val="9"/>
      <name val="宋体"/>
      <charset val="134"/>
    </font>
    <font>
      <sz val="10"/>
      <name val="宋体"/>
      <charset val="134"/>
    </font>
  </fonts>
  <fills count="15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1499679555650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3" tint="0.599993896298105"/>
        <bgColor indexed="64"/>
      </patternFill>
    </fill>
    <fill>
      <patternFill patternType="solid">
        <fgColor theme="2" tint="-0.0999786370433668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51170384838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5" tint="0.399945066682943"/>
        <bgColor indexed="64"/>
      </patternFill>
    </fill>
    <fill>
      <patternFill patternType="solid">
        <fgColor theme="6" tint="0.399945066682943"/>
        <bgColor indexed="64"/>
      </patternFill>
    </fill>
    <fill>
      <patternFill patternType="solid">
        <fgColor theme="7" tint="0.399945066682943"/>
        <bgColor indexed="64"/>
      </patternFill>
    </fill>
    <fill>
      <patternFill patternType="solid">
        <fgColor theme="8" tint="0.399945066682943"/>
        <bgColor indexed="64"/>
      </patternFill>
    </fill>
    <fill>
      <patternFill patternType="solid">
        <fgColor theme="9" tint="0.399945066682943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39994506668294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799951170384838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799951170384838"/>
        <bgColor indexed="64"/>
      </patternFill>
    </fill>
    <fill>
      <patternFill patternType="solid">
        <fgColor rgb="FF92D050"/>
        <bgColor rgb="FF92D050"/>
      </patternFill>
    </fill>
    <fill>
      <patternFill patternType="solid">
        <fgColor rgb="FFFFC000"/>
        <bgColor rgb="FF92D050"/>
      </patternFill>
    </fill>
    <fill>
      <patternFill patternType="solid">
        <fgColor theme="0"/>
        <bgColor rgb="FF92D050"/>
      </patternFill>
    </fill>
    <fill>
      <patternFill patternType="solid">
        <fgColor theme="2" tint="-0.249977111117893"/>
        <bgColor rgb="FF92D050"/>
      </patternFill>
    </fill>
    <fill>
      <patternFill patternType="solid">
        <fgColor theme="9" tint="-0.249977111117893"/>
        <bgColor rgb="FF92D050"/>
      </patternFill>
    </fill>
    <fill>
      <patternFill patternType="solid">
        <fgColor rgb="FFFFFF00"/>
        <bgColor rgb="FF92D050"/>
      </patternFill>
    </fill>
    <fill>
      <patternFill patternType="solid">
        <fgColor rgb="FF99CC00"/>
        <bgColor indexed="64"/>
      </patternFill>
    </fill>
    <fill>
      <patternFill patternType="solid">
        <fgColor rgb="FF92D050"/>
        <bgColor rgb="FF757171"/>
      </patternFill>
    </fill>
    <fill>
      <patternFill patternType="solid">
        <fgColor rgb="FFFFC000"/>
        <bgColor rgb="FF757171"/>
      </patternFill>
    </fill>
    <fill>
      <patternFill patternType="solid">
        <fgColor theme="0"/>
        <bgColor rgb="FFC4BD97"/>
      </patternFill>
    </fill>
    <fill>
      <patternFill patternType="solid">
        <fgColor theme="2" tint="-0.249977111117893"/>
        <bgColor rgb="FFC4BD97"/>
      </patternFill>
    </fill>
    <fill>
      <patternFill patternType="solid">
        <fgColor rgb="FF92D050"/>
        <bgColor rgb="FFC4BD97"/>
      </patternFill>
    </fill>
    <fill>
      <patternFill patternType="solid">
        <fgColor rgb="FF99CC00"/>
        <bgColor rgb="FF92D050"/>
      </patternFill>
    </fill>
    <fill>
      <patternFill patternType="solid">
        <fgColor rgb="FFFF0000"/>
        <bgColor rgb="FF92D050"/>
      </patternFill>
    </fill>
    <fill>
      <patternFill patternType="solid">
        <fgColor theme="9" tint="-0.249977111117893"/>
        <bgColor rgb="FFC4BD97"/>
      </patternFill>
    </fill>
    <fill>
      <patternFill patternType="solid">
        <fgColor rgb="FFFFFF00"/>
        <bgColor rgb="FFC4BD97"/>
      </patternFill>
    </fill>
    <fill>
      <patternFill patternType="solid">
        <fgColor theme="0"/>
        <bgColor rgb="FF757171"/>
      </patternFill>
    </fill>
    <fill>
      <patternFill patternType="solid">
        <fgColor theme="5" tint="0.799981688894314"/>
        <bgColor rgb="FF757171"/>
      </patternFill>
    </fill>
    <fill>
      <patternFill patternType="solid">
        <fgColor rgb="FFFF0000"/>
        <bgColor rgb="FFC4BD97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0" tint="-0.149998474074526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D9D9D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B1A0C7"/>
        <bgColor indexed="64"/>
      </patternFill>
    </fill>
    <fill>
      <patternFill patternType="solid">
        <fgColor rgb="FFA6A6A6"/>
        <bgColor indexed="64"/>
      </patternFill>
    </fill>
    <fill>
      <patternFill patternType="solid">
        <fgColor rgb="FF8DB4E2"/>
        <bgColor indexed="64"/>
      </patternFill>
    </fill>
    <fill>
      <patternFill patternType="solid">
        <fgColor theme="3" tint="0.799981688894314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799920651875362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theme="9" tint="0.399914548173467"/>
        <bgColor indexed="64"/>
      </patternFill>
    </fill>
    <fill>
      <patternFill patternType="solid">
        <fgColor theme="0" tint="-0.149906918546098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rgb="FF800080"/>
        <bgColor rgb="FF800080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CFFCC"/>
        <bgColor rgb="FFCCFFCC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9900"/>
        <bgColor rgb="FFFF9900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333399"/>
        <bgColor rgb="FF333399"/>
      </patternFill>
    </fill>
    <fill>
      <patternFill patternType="solid">
        <fgColor rgb="FFCCFFFF"/>
        <bgColor rgb="FFCCFFFF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CC99FF"/>
        <bgColor rgb="FFCC99FF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indexed="31"/>
        <bgColor indexed="64"/>
      </patternFill>
    </fill>
    <fill>
      <patternFill patternType="solid">
        <fgColor rgb="FF00FF00"/>
        <bgColor rgb="FF00FF00"/>
      </patternFill>
    </fill>
    <fill>
      <patternFill patternType="solid">
        <fgColor theme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rgb="FFCCCCFF"/>
        <bgColor rgb="FFCCCCFF"/>
      </patternFill>
    </fill>
    <fill>
      <patternFill patternType="solid">
        <fgColor rgb="FFFF99CC"/>
        <bgColor rgb="FFFF99CC"/>
      </patternFill>
    </fill>
    <fill>
      <patternFill patternType="solid">
        <fgColor indexed="46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rgb="FFFF0000"/>
        <bgColor rgb="FFFF0000"/>
      </patternFill>
    </fill>
    <fill>
      <patternFill patternType="solid">
        <fgColor rgb="FFFFCC99"/>
        <bgColor rgb="FFFFCC99"/>
      </patternFill>
    </fill>
    <fill>
      <patternFill patternType="solid">
        <fgColor indexed="44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rgb="FF99CCFF"/>
        <bgColor rgb="FF99CCFF"/>
      </patternFill>
    </fill>
    <fill>
      <patternFill patternType="solid">
        <fgColor indexed="29"/>
        <bgColor indexed="64"/>
      </patternFill>
    </fill>
    <fill>
      <patternFill patternType="solid">
        <fgColor rgb="FFFF8080"/>
        <bgColor rgb="FFFF8080"/>
      </patternFill>
    </fill>
    <fill>
      <patternFill patternType="solid">
        <fgColor indexed="1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rgb="FFFFCC00"/>
        <bgColor rgb="FFFFCC00"/>
      </patternFill>
    </fill>
    <fill>
      <patternFill patternType="solid">
        <fgColor rgb="FFC0C0C0"/>
        <bgColor rgb="FFC0C0C0"/>
      </patternFill>
    </fill>
    <fill>
      <patternFill patternType="solid">
        <fgColor rgb="FF0066CC"/>
        <bgColor rgb="FF0066CC"/>
      </patternFill>
    </fill>
    <fill>
      <patternFill patternType="solid">
        <fgColor indexed="3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rgb="FF33CCCC"/>
        <bgColor rgb="FF33CCCC"/>
      </patternFill>
    </fill>
    <fill>
      <patternFill patternType="solid">
        <fgColor rgb="FF00B050"/>
        <bgColor rgb="FF00B050"/>
      </patternFill>
    </fill>
    <fill>
      <patternFill patternType="solid">
        <fgColor rgb="FFA6A6A6"/>
        <bgColor rgb="FFA6A6A6"/>
      </patternFill>
    </fill>
    <fill>
      <patternFill patternType="solid">
        <fgColor indexed="26"/>
        <bgColor indexed="64"/>
      </patternFill>
    </fill>
    <fill>
      <patternFill patternType="solid">
        <fgColor rgb="FFFFFFCC"/>
        <bgColor rgb="FFFFFFCC"/>
      </patternFill>
    </fill>
    <fill>
      <patternFill patternType="solid">
        <fgColor indexed="57"/>
        <bgColor indexed="64"/>
      </patternFill>
    </fill>
    <fill>
      <patternFill patternType="solid">
        <fgColor rgb="FF339966"/>
        <bgColor rgb="FF339966"/>
      </patternFill>
    </fill>
    <fill>
      <patternFill patternType="solid">
        <fgColor indexed="53"/>
        <bgColor indexed="64"/>
      </patternFill>
    </fill>
    <fill>
      <patternFill patternType="solid">
        <fgColor rgb="FFFF6600"/>
        <bgColor rgb="FFFF6600"/>
      </patternFill>
    </fill>
    <fill>
      <patternFill patternType="solid">
        <fgColor rgb="FFFFFF99"/>
        <bgColor rgb="FFFFFF99"/>
      </patternFill>
    </fill>
    <fill>
      <patternFill patternType="solid">
        <fgColor theme="6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rgb="FF969696"/>
        <bgColor rgb="FF969696"/>
      </patternFill>
    </fill>
  </fills>
  <borders count="20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 diagonalDown="1">
      <left style="thin">
        <color auto="1"/>
      </left>
      <right/>
      <top style="thin">
        <color auto="1"/>
      </top>
      <bottom style="thin">
        <color auto="1"/>
      </bottom>
      <diagonal style="thin">
        <color auto="1"/>
      </diagonal>
    </border>
    <border diagonalDown="1">
      <left/>
      <right style="thin">
        <color auto="1"/>
      </right>
      <top style="thin">
        <color auto="1"/>
      </top>
      <bottom style="thin">
        <color auto="1"/>
      </bottom>
      <diagonal style="thin">
        <color auto="1"/>
      </diagonal>
    </border>
    <border>
      <left style="thick">
        <color rgb="FF1A25FA"/>
      </left>
      <right style="thin">
        <color auto="1"/>
      </right>
      <top style="thick">
        <color rgb="FF1A25FA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ck">
        <color rgb="FF1A25FA"/>
      </top>
      <bottom style="thin">
        <color auto="1"/>
      </bottom>
      <diagonal/>
    </border>
    <border>
      <left style="thick">
        <color rgb="FF1A25FA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rgb="FF1A25FA"/>
      </left>
      <right style="thin">
        <color auto="1"/>
      </right>
      <top style="thin">
        <color auto="1"/>
      </top>
      <bottom/>
      <diagonal/>
    </border>
    <border>
      <left style="thick">
        <color rgb="FF1A25FA"/>
      </left>
      <right/>
      <top/>
      <bottom/>
      <diagonal/>
    </border>
    <border>
      <left style="thick">
        <color rgb="FF1A25FA"/>
      </left>
      <right/>
      <top/>
      <bottom style="thick">
        <color rgb="FF1A25FA"/>
      </bottom>
      <diagonal/>
    </border>
    <border>
      <left/>
      <right/>
      <top/>
      <bottom style="thick">
        <color rgb="FF1A25FA"/>
      </bottom>
      <diagonal/>
    </border>
    <border>
      <left style="thin">
        <color auto="1"/>
      </left>
      <right style="thin">
        <color auto="1"/>
      </right>
      <top style="thick">
        <color rgb="FF1A25FA"/>
      </top>
      <bottom/>
      <diagonal/>
    </border>
    <border>
      <left style="thin">
        <color auto="1"/>
      </left>
      <right style="thick">
        <color rgb="FF1A25FA"/>
      </right>
      <top style="thick">
        <color rgb="FF1A25FA"/>
      </top>
      <bottom style="thin">
        <color auto="1"/>
      </bottom>
      <diagonal/>
    </border>
    <border>
      <left style="thin">
        <color auto="1"/>
      </left>
      <right style="thick">
        <color rgb="FF1A25FA"/>
      </right>
      <top style="thin">
        <color auto="1"/>
      </top>
      <bottom style="thin">
        <color auto="1"/>
      </bottom>
      <diagonal/>
    </border>
    <border>
      <left/>
      <right style="thick">
        <color rgb="FF1A25FA"/>
      </right>
      <top/>
      <bottom/>
      <diagonal/>
    </border>
    <border>
      <left/>
      <right style="thick">
        <color rgb="FF1A25FA"/>
      </right>
      <top/>
      <bottom style="thick">
        <color rgb="FF1A25FA"/>
      </bottom>
      <diagonal/>
    </border>
    <border>
      <left style="thick">
        <color rgb="FF1A25FA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ck">
        <color rgb="FF1A25FA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1A25FA"/>
      </left>
      <right style="thin">
        <color rgb="FF000000"/>
      </right>
      <top/>
      <bottom style="medium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auto="1"/>
      </top>
      <bottom/>
      <diagonal/>
    </border>
    <border>
      <left style="thin">
        <color rgb="FF000000"/>
      </left>
      <right/>
      <top style="thin">
        <color auto="1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ck">
        <color rgb="FF1A25FA"/>
      </left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/>
      <bottom style="thick">
        <color rgb="FF000000"/>
      </bottom>
      <diagonal/>
    </border>
    <border>
      <left style="thick">
        <color rgb="FF1A25FA"/>
      </left>
      <right/>
      <top style="double">
        <color auto="1"/>
      </top>
      <bottom/>
      <diagonal/>
    </border>
    <border>
      <left/>
      <right/>
      <top style="double">
        <color auto="1"/>
      </top>
      <bottom/>
      <diagonal/>
    </border>
    <border>
      <left style="thin">
        <color rgb="FF000000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thin">
        <color rgb="FF000000"/>
      </right>
      <top style="medium">
        <color auto="1"/>
      </top>
      <bottom style="medium">
        <color auto="1"/>
      </bottom>
      <diagonal/>
    </border>
    <border>
      <left style="thin">
        <color rgb="FF000000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/>
      <right style="thick">
        <color rgb="FF1A25FA"/>
      </right>
      <top style="thick">
        <color rgb="FF1A25FA"/>
      </top>
      <bottom/>
      <diagonal/>
    </border>
    <border>
      <left/>
      <right style="medium">
        <color rgb="FF1A25FA"/>
      </right>
      <top/>
      <bottom/>
      <diagonal/>
    </border>
    <border>
      <left style="thick">
        <color rgb="FF1A25FA"/>
      </left>
      <right/>
      <top style="thin">
        <color auto="1"/>
      </top>
      <bottom style="thin">
        <color auto="1"/>
      </bottom>
      <diagonal/>
    </border>
    <border>
      <left style="thick">
        <color rgb="FF1A25FA"/>
      </left>
      <right style="thin">
        <color auto="1"/>
      </right>
      <top/>
      <bottom/>
      <diagonal/>
    </border>
    <border>
      <left style="thick">
        <color rgb="FF1A25FA"/>
      </left>
      <right/>
      <top style="thin">
        <color auto="1"/>
      </top>
      <bottom/>
      <diagonal/>
    </border>
    <border>
      <left style="thin">
        <color auto="1"/>
      </left>
      <right style="thick">
        <color rgb="FF1A25FA"/>
      </right>
      <top style="thin">
        <color auto="1"/>
      </top>
      <bottom/>
      <diagonal/>
    </border>
    <border>
      <left style="thin">
        <color auto="1"/>
      </left>
      <right style="thick">
        <color rgb="FF1A25FA"/>
      </right>
      <top/>
      <bottom style="thin">
        <color auto="1"/>
      </bottom>
      <diagonal/>
    </border>
    <border>
      <left style="thin">
        <color auto="1"/>
      </left>
      <right style="thick">
        <color rgb="FF1A25FA"/>
      </right>
      <top/>
      <bottom/>
      <diagonal/>
    </border>
    <border>
      <left style="thick">
        <color rgb="FF1A25FA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ck">
        <color rgb="FF1A25FA"/>
      </right>
      <top style="thick">
        <color rgb="FF1A25FA"/>
      </top>
      <bottom/>
      <diagonal/>
    </border>
    <border>
      <left style="thin">
        <color auto="1"/>
      </left>
      <right style="thick">
        <color rgb="FF1A25FA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rgb="FF1A25FA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rgb="FF0000CC"/>
      </left>
      <right style="thin">
        <color auto="1"/>
      </right>
      <top style="medium">
        <color rgb="FF0000CC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rgb="FF0000CC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rgb="FF0000CC"/>
      </top>
      <bottom/>
      <diagonal/>
    </border>
    <border>
      <left style="medium">
        <color rgb="FF0000CC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rgb="FF0000CC"/>
      </left>
      <right style="thin">
        <color auto="1"/>
      </right>
      <top style="thin">
        <color auto="1"/>
      </top>
      <bottom style="medium">
        <color rgb="FF0000CC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rgb="FF0000CC"/>
      </bottom>
      <diagonal/>
    </border>
    <border>
      <left style="thin">
        <color auto="1"/>
      </left>
      <right/>
      <top style="thin">
        <color auto="1"/>
      </top>
      <bottom style="medium">
        <color rgb="FF0000CC"/>
      </bottom>
      <diagonal/>
    </border>
    <border>
      <left style="thin">
        <color auto="1"/>
      </left>
      <right style="medium">
        <color rgb="FF0000CC"/>
      </right>
      <top style="medium">
        <color rgb="FF0000CC"/>
      </top>
      <bottom/>
      <diagonal/>
    </border>
    <border>
      <left style="thin">
        <color auto="1"/>
      </left>
      <right style="medium">
        <color rgb="FF0000CC"/>
      </right>
      <top style="thin">
        <color auto="1"/>
      </top>
      <bottom/>
      <diagonal/>
    </border>
    <border>
      <left style="thin">
        <color auto="1"/>
      </left>
      <right style="medium">
        <color rgb="FF0000CC"/>
      </right>
      <top/>
      <bottom/>
      <diagonal/>
    </border>
    <border>
      <left style="thin">
        <color auto="1"/>
      </left>
      <right style="medium">
        <color rgb="FF0000CC"/>
      </right>
      <top style="thin">
        <color auto="1"/>
      </top>
      <bottom style="medium">
        <color rgb="FF0000CC"/>
      </bottom>
      <diagonal/>
    </border>
    <border>
      <left style="thin">
        <color auto="1"/>
      </left>
      <right style="medium">
        <color rgb="FF0000CC"/>
      </right>
      <top style="thin">
        <color auto="1"/>
      </top>
      <bottom style="thin">
        <color auto="1"/>
      </bottom>
      <diagonal/>
    </border>
    <border>
      <left/>
      <right style="thin">
        <color rgb="FF000000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ck">
        <color rgb="FF0000FF"/>
      </right>
      <top style="medium">
        <color rgb="FF000000"/>
      </top>
      <bottom style="medium">
        <color rgb="FF000000"/>
      </bottom>
      <diagonal/>
    </border>
    <border>
      <left style="thick">
        <color rgb="FF0000FF"/>
      </left>
      <right style="thick">
        <color rgb="FF0000FF"/>
      </right>
      <top style="thick">
        <color rgb="FF0000FF"/>
      </top>
      <bottom style="medium">
        <color rgb="FF000000"/>
      </bottom>
      <diagonal/>
    </border>
    <border>
      <left style="thick">
        <color rgb="FF0000FF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ck">
        <color rgb="FF0000FF"/>
      </right>
      <top style="medium">
        <color rgb="FF000000"/>
      </top>
      <bottom/>
      <diagonal/>
    </border>
    <border>
      <left style="thick">
        <color rgb="FF0000FF"/>
      </left>
      <right style="thick">
        <color rgb="FF0000FF"/>
      </right>
      <top style="medium">
        <color rgb="FF000000"/>
      </top>
      <bottom/>
      <diagonal/>
    </border>
    <border>
      <left style="thick">
        <color rgb="FF0000FF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ck">
        <color rgb="FF0000FF"/>
      </left>
      <right style="thick">
        <color rgb="FF0000FF"/>
      </right>
      <top style="medium">
        <color rgb="FF000000"/>
      </top>
      <bottom style="medium">
        <color rgb="FF000000"/>
      </bottom>
      <diagonal/>
    </border>
    <border>
      <left style="thick">
        <color rgb="FF0000FF"/>
      </left>
      <right style="thick">
        <color rgb="FF0000FF"/>
      </right>
      <top style="medium">
        <color rgb="FF000000"/>
      </top>
      <bottom style="thick">
        <color rgb="FF0000FF"/>
      </bottom>
      <diagonal/>
    </border>
    <border>
      <left style="thin">
        <color rgb="FF000000"/>
      </left>
      <right style="thick">
        <color rgb="FF0000FF"/>
      </right>
      <top style="thin">
        <color rgb="FF000000"/>
      </top>
      <bottom style="thin">
        <color rgb="FF000000"/>
      </bottom>
      <diagonal/>
    </border>
    <border>
      <left style="thick">
        <color rgb="FF0000FF"/>
      </left>
      <right style="thick">
        <color rgb="FF0000FF"/>
      </right>
      <top style="thick">
        <color rgb="FF0000FF"/>
      </top>
      <bottom style="thin">
        <color rgb="FF000000"/>
      </bottom>
      <diagonal/>
    </border>
    <border>
      <left style="thick">
        <color rgb="FF0000FF"/>
      </left>
      <right style="thick">
        <color rgb="FF0000FF"/>
      </right>
      <top style="thin">
        <color rgb="FF000000"/>
      </top>
      <bottom style="thin">
        <color rgb="FF000000"/>
      </bottom>
      <diagonal/>
    </border>
    <border>
      <left/>
      <right style="thick">
        <color rgb="FF0000FF"/>
      </right>
      <top style="thin">
        <color rgb="FF000000"/>
      </top>
      <bottom style="thin">
        <color rgb="FF000000"/>
      </bottom>
      <diagonal/>
    </border>
    <border>
      <left style="thick">
        <color rgb="FF0000FF"/>
      </left>
      <right style="thick">
        <color rgb="FF0000FF"/>
      </right>
      <top style="thin">
        <color rgb="FF000000"/>
      </top>
      <bottom style="thick">
        <color rgb="FF0000FF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thick">
        <color rgb="FF0000FF"/>
      </right>
      <top style="medium">
        <color rgb="FF000000"/>
      </top>
      <bottom style="medium">
        <color rgb="FF000000"/>
      </bottom>
      <diagonal/>
    </border>
    <border>
      <left style="thick">
        <color rgb="FF0000FF"/>
      </left>
      <right/>
      <top style="thick">
        <color rgb="FF0000FF"/>
      </top>
      <bottom style="medium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thick">
        <color rgb="FF0000FF"/>
      </left>
      <right style="medium">
        <color rgb="FF000000"/>
      </right>
      <top style="medium">
        <color rgb="FF000000"/>
      </top>
      <bottom style="thick">
        <color rgb="FF0000FF"/>
      </bottom>
      <diagonal/>
    </border>
    <border>
      <left/>
      <right style="thick">
        <color rgb="FF0000FF"/>
      </right>
      <top style="thick">
        <color rgb="FF0000FF"/>
      </top>
      <bottom style="medium">
        <color rgb="FF000000"/>
      </bottom>
      <diagonal/>
    </border>
    <border>
      <left style="medium">
        <color rgb="FF000000"/>
      </left>
      <right style="thick">
        <color rgb="FF0000FF"/>
      </right>
      <top style="medium">
        <color rgb="FF000000"/>
      </top>
      <bottom style="thick">
        <color rgb="FF0000FF"/>
      </bottom>
      <diagonal/>
    </border>
    <border>
      <left style="thick">
        <color rgb="FF000000"/>
      </left>
      <right style="thick">
        <color rgb="FF0000FF"/>
      </right>
      <top style="thick">
        <color rgb="FF000000"/>
      </top>
      <bottom style="medium">
        <color rgb="FF000000"/>
      </bottom>
      <diagonal/>
    </border>
    <border>
      <left style="thick">
        <color rgb="FF0000FF"/>
      </left>
      <right style="thick">
        <color rgb="FF000000"/>
      </right>
      <top style="thick">
        <color rgb="FF000000"/>
      </top>
      <bottom style="medium">
        <color rgb="FF000000"/>
      </bottom>
      <diagonal/>
    </border>
    <border>
      <left style="thick">
        <color rgb="FF000000"/>
      </left>
      <right style="thick">
        <color rgb="FF0000FF"/>
      </right>
      <top style="medium">
        <color rgb="FF000000"/>
      </top>
      <bottom style="medium">
        <color rgb="FF000000"/>
      </bottom>
      <diagonal/>
    </border>
    <border>
      <left style="thick">
        <color rgb="FF0000FF"/>
      </left>
      <right style="thick">
        <color rgb="FF000000"/>
      </right>
      <top style="medium">
        <color rgb="FF000000"/>
      </top>
      <bottom style="medium">
        <color rgb="FF000000"/>
      </bottom>
      <diagonal/>
    </border>
    <border>
      <left style="thick">
        <color rgb="FF000000"/>
      </left>
      <right style="thick">
        <color rgb="FF0000FF"/>
      </right>
      <top style="medium">
        <color rgb="FF000000"/>
      </top>
      <bottom style="thick">
        <color rgb="FF000000"/>
      </bottom>
      <diagonal/>
    </border>
    <border>
      <left style="thick">
        <color rgb="FF0000FF"/>
      </left>
      <right style="thick">
        <color rgb="FF000000"/>
      </right>
      <top style="medium">
        <color rgb="FF000000"/>
      </top>
      <bottom style="thick">
        <color rgb="FF000000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 diagonalDown="1"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 style="thin">
        <color auto="1"/>
      </diagonal>
    </border>
    <border>
      <left style="thin">
        <color indexed="8"/>
      </left>
      <right style="thin">
        <color indexed="8"/>
      </right>
      <top style="thin">
        <color auto="1"/>
      </top>
      <bottom style="thin">
        <color auto="1"/>
      </bottom>
      <diagonal/>
    </border>
    <border>
      <left style="thin">
        <color indexed="8"/>
      </left>
      <right/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99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rgb="FF333333"/>
      </left>
      <right style="thin">
        <color rgb="FF333333"/>
      </right>
      <top style="thin">
        <color rgb="FF333333"/>
      </top>
      <bottom style="thin">
        <color rgb="FF333333"/>
      </bottom>
      <diagonal/>
    </border>
    <border>
      <left style="thin">
        <color rgb="FF808080"/>
      </left>
      <right style="thin">
        <color rgb="FF808080"/>
      </right>
      <top style="thin">
        <color rgb="FF808080"/>
      </top>
      <bottom style="thin">
        <color rgb="FF808080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rgb="FFC0C0C0"/>
      </left>
      <right style="thin">
        <color rgb="FFC0C0C0"/>
      </right>
      <top style="thin">
        <color rgb="FFC0C0C0"/>
      </top>
      <bottom style="thin">
        <color rgb="FFC0C0C0"/>
      </bottom>
      <diagonal/>
    </border>
    <border>
      <left/>
      <right/>
      <top/>
      <bottom style="double">
        <color indexed="5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double">
        <color rgb="FF333333"/>
      </left>
      <right style="double">
        <color rgb="FF333333"/>
      </right>
      <top style="double">
        <color rgb="FF333333"/>
      </top>
      <bottom style="double">
        <color rgb="FF333333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 style="thin">
        <color rgb="FF333399"/>
      </top>
      <bottom style="double">
        <color rgb="FF333399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rgb="FF333399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thick">
        <color rgb="FFC0C0C0"/>
      </bottom>
      <diagonal/>
    </border>
    <border>
      <left/>
      <right/>
      <top/>
      <bottom style="medium">
        <color indexed="30"/>
      </bottom>
      <diagonal/>
    </border>
    <border>
      <left/>
      <right/>
      <top/>
      <bottom style="medium">
        <color rgb="FF0066CC"/>
      </bottom>
      <diagonal/>
    </border>
  </borders>
  <cellStyleXfs count="302">
    <xf numFmtId="0" fontId="0" fillId="0" borderId="0">
      <alignment vertical="center"/>
    </xf>
    <xf numFmtId="0" fontId="149" fillId="80" borderId="0" applyNumberFormat="0" applyBorder="0" applyAlignment="0" applyProtection="0">
      <alignment vertical="center"/>
    </xf>
    <xf numFmtId="0" fontId="150" fillId="81" borderId="0" applyNumberFormat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51" fillId="82" borderId="0" applyNumberFormat="0" applyBorder="0" applyAlignment="0" applyProtection="0">
      <alignment vertical="center"/>
    </xf>
    <xf numFmtId="0" fontId="152" fillId="83" borderId="180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53" fillId="0" borderId="0"/>
    <xf numFmtId="0" fontId="151" fillId="84" borderId="0" applyNumberFormat="0" applyBorder="0" applyAlignment="0" applyProtection="0">
      <alignment vertical="center"/>
    </xf>
    <xf numFmtId="0" fontId="154" fillId="0" borderId="181" applyNumberFormat="0" applyFill="0" applyAlignment="0" applyProtection="0">
      <alignment vertical="center"/>
    </xf>
    <xf numFmtId="0" fontId="155" fillId="85" borderId="0" applyNumberFormat="0" applyBorder="0" applyAlignment="0" applyProtection="0">
      <alignment vertical="center"/>
    </xf>
    <xf numFmtId="0" fontId="156" fillId="0" borderId="0"/>
    <xf numFmtId="43" fontId="29" fillId="0" borderId="0" applyFont="0" applyFill="0" applyBorder="0" applyAlignment="0" applyProtection="0">
      <alignment vertical="center"/>
    </xf>
    <xf numFmtId="0" fontId="157" fillId="86" borderId="0" applyNumberFormat="0" applyBorder="0" applyAlignment="0" applyProtection="0">
      <alignment vertical="center"/>
    </xf>
    <xf numFmtId="0" fontId="148" fillId="0" borderId="0" applyNumberFormat="0" applyFill="0" applyBorder="0" applyAlignment="0" applyProtection="0">
      <alignment vertical="center"/>
    </xf>
    <xf numFmtId="9" fontId="29" fillId="0" borderId="0" applyFont="0" applyFill="0" applyBorder="0" applyAlignment="0" applyProtection="0">
      <alignment vertical="center"/>
    </xf>
    <xf numFmtId="0" fontId="158" fillId="0" borderId="0" applyNumberFormat="0" applyFill="0" applyBorder="0" applyAlignment="0" applyProtection="0">
      <alignment vertical="center"/>
    </xf>
    <xf numFmtId="0" fontId="1" fillId="0" borderId="0"/>
    <xf numFmtId="0" fontId="0" fillId="87" borderId="182" applyNumberFormat="0" applyFont="0" applyAlignment="0" applyProtection="0">
      <alignment vertical="center"/>
    </xf>
    <xf numFmtId="0" fontId="29" fillId="0" borderId="0">
      <alignment vertical="center"/>
    </xf>
    <xf numFmtId="0" fontId="157" fillId="88" borderId="0" applyNumberFormat="0" applyBorder="0" applyAlignment="0" applyProtection="0">
      <alignment vertical="center"/>
    </xf>
    <xf numFmtId="0" fontId="159" fillId="89" borderId="0" applyNumberFormat="0" applyBorder="0" applyAlignment="0" applyProtection="0">
      <alignment vertical="center"/>
    </xf>
    <xf numFmtId="0" fontId="160" fillId="0" borderId="0" applyNumberFormat="0" applyFill="0" applyBorder="0" applyAlignment="0" applyProtection="0">
      <alignment vertical="center"/>
    </xf>
    <xf numFmtId="0" fontId="161" fillId="0" borderId="0" applyNumberFormat="0" applyFill="0" applyBorder="0" applyAlignment="0" applyProtection="0">
      <alignment vertical="center"/>
    </xf>
    <xf numFmtId="0" fontId="71" fillId="0" borderId="0" applyNumberFormat="0" applyFont="0" applyBorder="0" applyProtection="0"/>
    <xf numFmtId="0" fontId="162" fillId="0" borderId="0" applyNumberFormat="0" applyFill="0" applyBorder="0" applyAlignment="0" applyProtection="0">
      <alignment vertical="center"/>
    </xf>
    <xf numFmtId="0" fontId="163" fillId="0" borderId="0" applyNumberForma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  <xf numFmtId="0" fontId="164" fillId="0" borderId="183" applyNumberFormat="0" applyFill="0" applyAlignment="0" applyProtection="0">
      <alignment vertical="center"/>
    </xf>
    <xf numFmtId="0" fontId="165" fillId="0" borderId="0">
      <alignment vertical="center"/>
    </xf>
    <xf numFmtId="9" fontId="9" fillId="0" borderId="0" applyFont="0" applyFill="0" applyBorder="0" applyAlignment="0" applyProtection="0">
      <alignment vertical="center"/>
    </xf>
    <xf numFmtId="0" fontId="166" fillId="0" borderId="183" applyNumberFormat="0" applyFill="0" applyAlignment="0" applyProtection="0">
      <alignment vertical="center"/>
    </xf>
    <xf numFmtId="0" fontId="153" fillId="0" borderId="0"/>
    <xf numFmtId="0" fontId="157" fillId="90" borderId="0" applyNumberFormat="0" applyBorder="0" applyAlignment="0" applyProtection="0">
      <alignment vertical="center"/>
    </xf>
    <xf numFmtId="0" fontId="165" fillId="0" borderId="0">
      <alignment vertical="center"/>
    </xf>
    <xf numFmtId="0" fontId="150" fillId="91" borderId="0" applyNumberFormat="0" applyBorder="0" applyAlignment="0" applyProtection="0">
      <alignment vertical="center"/>
    </xf>
    <xf numFmtId="0" fontId="160" fillId="0" borderId="184" applyNumberFormat="0" applyFill="0" applyAlignment="0" applyProtection="0">
      <alignment vertical="center"/>
    </xf>
    <xf numFmtId="0" fontId="157" fillId="92" borderId="0" applyNumberFormat="0" applyBorder="0" applyAlignment="0" applyProtection="0">
      <alignment vertical="center"/>
    </xf>
    <xf numFmtId="0" fontId="167" fillId="93" borderId="185" applyNumberFormat="0" applyAlignment="0" applyProtection="0">
      <alignment vertical="center"/>
    </xf>
    <xf numFmtId="0" fontId="29" fillId="0" borderId="0"/>
    <xf numFmtId="0" fontId="168" fillId="93" borderId="180" applyNumberFormat="0" applyAlignment="0" applyProtection="0">
      <alignment vertical="center"/>
    </xf>
    <xf numFmtId="0" fontId="169" fillId="0" borderId="0" applyNumberFormat="0" applyBorder="0" applyProtection="0"/>
    <xf numFmtId="0" fontId="170" fillId="94" borderId="186" applyNumberFormat="0" applyAlignment="0" applyProtection="0">
      <alignment vertical="center"/>
    </xf>
    <xf numFmtId="0" fontId="171" fillId="0" borderId="0"/>
    <xf numFmtId="0" fontId="151" fillId="95" borderId="0" applyNumberFormat="0" applyBorder="0" applyAlignment="0" applyProtection="0">
      <alignment vertical="center"/>
    </xf>
    <xf numFmtId="0" fontId="157" fillId="96" borderId="0" applyNumberFormat="0" applyBorder="0" applyAlignment="0" applyProtection="0">
      <alignment vertical="center"/>
    </xf>
    <xf numFmtId="0" fontId="172" fillId="0" borderId="187" applyNumberFormat="0" applyFill="0" applyAlignment="0" applyProtection="0">
      <alignment vertical="center"/>
    </xf>
    <xf numFmtId="0" fontId="173" fillId="0" borderId="188" applyNumberFormat="0" applyFill="0" applyAlignment="0" applyProtection="0">
      <alignment vertical="center"/>
    </xf>
    <xf numFmtId="0" fontId="174" fillId="97" borderId="0" applyNumberFormat="0" applyBorder="0" applyAlignment="0" applyProtection="0">
      <alignment vertical="center"/>
    </xf>
    <xf numFmtId="0" fontId="175" fillId="98" borderId="0" applyNumberFormat="0" applyBorder="0" applyAlignment="0" applyProtection="0">
      <alignment vertical="center"/>
    </xf>
    <xf numFmtId="0" fontId="124" fillId="99" borderId="0" applyNumberFormat="0" applyBorder="0" applyAlignment="0" applyProtection="0">
      <alignment vertical="center"/>
    </xf>
    <xf numFmtId="0" fontId="176" fillId="100" borderId="0" applyNumberFormat="0" applyBorder="0" applyAlignment="0" applyProtection="0">
      <alignment vertical="center"/>
    </xf>
    <xf numFmtId="0" fontId="177" fillId="0" borderId="0" applyNumberFormat="0" applyBorder="0" applyProtection="0">
      <alignment vertical="center"/>
    </xf>
    <xf numFmtId="0" fontId="151" fillId="101" borderId="0" applyNumberFormat="0" applyBorder="0" applyAlignment="0" applyProtection="0">
      <alignment vertical="center"/>
    </xf>
    <xf numFmtId="0" fontId="157" fillId="102" borderId="0" applyNumberFormat="0" applyBorder="0" applyAlignment="0" applyProtection="0">
      <alignment vertical="center"/>
    </xf>
    <xf numFmtId="0" fontId="178" fillId="0" borderId="0" applyNumberFormat="0" applyFill="0" applyBorder="0" applyAlignment="0" applyProtection="0">
      <alignment vertical="center"/>
    </xf>
    <xf numFmtId="0" fontId="151" fillId="103" borderId="0" applyNumberFormat="0" applyBorder="0" applyAlignment="0" applyProtection="0">
      <alignment vertical="center"/>
    </xf>
    <xf numFmtId="0" fontId="179" fillId="0" borderId="0">
      <alignment vertical="center"/>
    </xf>
    <xf numFmtId="0" fontId="151" fillId="104" borderId="0" applyNumberFormat="0" applyBorder="0" applyAlignment="0" applyProtection="0">
      <alignment vertical="center"/>
    </xf>
    <xf numFmtId="0" fontId="151" fillId="105" borderId="0" applyNumberFormat="0" applyBorder="0" applyAlignment="0" applyProtection="0">
      <alignment vertical="center"/>
    </xf>
    <xf numFmtId="0" fontId="151" fillId="106" borderId="0" applyNumberFormat="0" applyBorder="0" applyAlignment="0" applyProtection="0">
      <alignment vertical="center"/>
    </xf>
    <xf numFmtId="0" fontId="157" fillId="107" borderId="0" applyNumberFormat="0" applyBorder="0" applyAlignment="0" applyProtection="0">
      <alignment vertical="center"/>
    </xf>
    <xf numFmtId="0" fontId="150" fillId="108" borderId="0" applyNumberFormat="0" applyBorder="0" applyAlignment="0" applyProtection="0">
      <alignment vertical="center"/>
    </xf>
    <xf numFmtId="0" fontId="159" fillId="109" borderId="0" applyNumberFormat="0" applyBorder="0" applyAlignment="0" applyProtection="0">
      <alignment vertical="center"/>
    </xf>
    <xf numFmtId="0" fontId="157" fillId="110" borderId="0" applyNumberFormat="0" applyBorder="0" applyAlignment="0" applyProtection="0">
      <alignment vertical="center"/>
    </xf>
    <xf numFmtId="0" fontId="151" fillId="111" borderId="0" applyNumberFormat="0" applyBorder="0" applyAlignment="0" applyProtection="0">
      <alignment vertical="center"/>
    </xf>
    <xf numFmtId="0" fontId="151" fillId="112" borderId="0" applyNumberFormat="0" applyBorder="0" applyAlignment="0" applyProtection="0">
      <alignment vertical="center"/>
    </xf>
    <xf numFmtId="0" fontId="157" fillId="113" borderId="0" applyNumberFormat="0" applyBorder="0" applyAlignment="0" applyProtection="0">
      <alignment vertical="center"/>
    </xf>
    <xf numFmtId="0" fontId="159" fillId="114" borderId="0" applyNumberFormat="0" applyBorder="0" applyAlignment="0" applyProtection="0">
      <alignment vertical="center"/>
    </xf>
    <xf numFmtId="0" fontId="151" fillId="115" borderId="0" applyNumberFormat="0" applyBorder="0" applyAlignment="0" applyProtection="0">
      <alignment vertical="center"/>
    </xf>
    <xf numFmtId="0" fontId="157" fillId="116" borderId="0" applyNumberFormat="0" applyBorder="0" applyAlignment="0" applyProtection="0">
      <alignment vertical="center"/>
    </xf>
    <xf numFmtId="0" fontId="180" fillId="117" borderId="0" applyNumberFormat="0" applyBorder="0" applyAlignment="0" applyProtection="0">
      <alignment vertical="center"/>
    </xf>
    <xf numFmtId="0" fontId="150" fillId="118" borderId="0" applyNumberFormat="0" applyBorder="0" applyAlignment="0" applyProtection="0">
      <alignment vertical="center"/>
    </xf>
    <xf numFmtId="0" fontId="157" fillId="119" borderId="0" applyNumberFormat="0" applyBorder="0" applyAlignment="0" applyProtection="0">
      <alignment vertical="center"/>
    </xf>
    <xf numFmtId="0" fontId="181" fillId="120" borderId="189" applyNumberFormat="0" applyAlignment="0" applyProtection="0">
      <alignment vertical="center"/>
    </xf>
    <xf numFmtId="0" fontId="182" fillId="121" borderId="0" applyNumberFormat="0" applyBorder="0" applyAlignment="0" applyProtection="0">
      <alignment vertical="center"/>
    </xf>
    <xf numFmtId="0" fontId="151" fillId="122" borderId="0" applyNumberFormat="0" applyBorder="0" applyAlignment="0" applyProtection="0">
      <alignment vertical="center"/>
    </xf>
    <xf numFmtId="0" fontId="157" fillId="123" borderId="0" applyNumberFormat="0" applyBorder="0" applyAlignment="0" applyProtection="0">
      <alignment vertical="center"/>
    </xf>
    <xf numFmtId="0" fontId="159" fillId="124" borderId="0" applyNumberFormat="0" applyBorder="0" applyAlignment="0" applyProtection="0">
      <alignment vertical="center"/>
    </xf>
    <xf numFmtId="0" fontId="180" fillId="97" borderId="0" applyNumberFormat="0" applyBorder="0" applyAlignment="0" applyProtection="0">
      <alignment vertical="center"/>
    </xf>
    <xf numFmtId="0" fontId="159" fillId="125" borderId="0" applyNumberFormat="0" applyBorder="0" applyAlignment="0" applyProtection="0">
      <alignment vertical="center"/>
    </xf>
    <xf numFmtId="0" fontId="9" fillId="0" borderId="0">
      <alignment vertical="center"/>
    </xf>
    <xf numFmtId="0" fontId="180" fillId="99" borderId="0" applyNumberFormat="0" applyBorder="0" applyAlignment="0" applyProtection="0">
      <alignment vertical="center"/>
    </xf>
    <xf numFmtId="0" fontId="29" fillId="0" borderId="0"/>
    <xf numFmtId="0" fontId="180" fillId="126" borderId="0" applyNumberFormat="0" applyBorder="0" applyAlignment="0" applyProtection="0">
      <alignment vertical="center"/>
    </xf>
    <xf numFmtId="0" fontId="149" fillId="127" borderId="0" applyNumberFormat="0" applyBorder="0" applyAlignment="0" applyProtection="0">
      <alignment vertical="center"/>
    </xf>
    <xf numFmtId="0" fontId="180" fillId="128" borderId="0" applyNumberFormat="0" applyBorder="0" applyAlignment="0" applyProtection="0">
      <alignment vertical="center"/>
    </xf>
    <xf numFmtId="0" fontId="149" fillId="129" borderId="0" applyNumberFormat="0" applyBorder="0" applyAlignment="0" applyProtection="0">
      <alignment vertical="center"/>
    </xf>
    <xf numFmtId="0" fontId="169" fillId="0" borderId="0" applyNumberFormat="0" applyBorder="0" applyProtection="0"/>
    <xf numFmtId="0" fontId="180" fillId="130" borderId="0" applyNumberFormat="0" applyBorder="0" applyAlignment="0" applyProtection="0">
      <alignment vertical="center"/>
    </xf>
    <xf numFmtId="0" fontId="150" fillId="131" borderId="0" applyNumberFormat="0" applyBorder="0" applyAlignment="0" applyProtection="0">
      <alignment vertical="center"/>
    </xf>
    <xf numFmtId="0" fontId="159" fillId="132" borderId="0" applyNumberFormat="0" applyBorder="0" applyAlignment="0" applyProtection="0">
      <alignment vertical="center"/>
    </xf>
    <xf numFmtId="0" fontId="124" fillId="97" borderId="0" applyNumberFormat="0" applyBorder="0" applyAlignment="0" applyProtection="0">
      <alignment vertical="center"/>
    </xf>
    <xf numFmtId="0" fontId="124" fillId="99" borderId="0" applyNumberFormat="0" applyBorder="0" applyAlignment="0" applyProtection="0">
      <alignment vertical="center"/>
    </xf>
    <xf numFmtId="0" fontId="180" fillId="133" borderId="0" applyNumberFormat="0" applyBorder="0" applyAlignment="0" applyProtection="0">
      <alignment vertical="center"/>
    </xf>
    <xf numFmtId="0" fontId="149" fillId="134" borderId="0" applyNumberFormat="0" applyBorder="0" applyAlignment="0" applyProtection="0">
      <alignment vertical="center"/>
    </xf>
    <xf numFmtId="0" fontId="159" fillId="135" borderId="0" applyNumberFormat="0" applyBorder="0" applyAlignment="0" applyProtection="0">
      <alignment vertical="center"/>
    </xf>
    <xf numFmtId="0" fontId="180" fillId="136" borderId="0" applyNumberFormat="0" applyBorder="0" applyAlignment="0" applyProtection="0">
      <alignment vertical="center"/>
    </xf>
    <xf numFmtId="0" fontId="159" fillId="137" borderId="0" applyNumberFormat="0" applyBorder="0" applyAlignment="0" applyProtection="0">
      <alignment vertical="center"/>
    </xf>
    <xf numFmtId="0" fontId="183" fillId="0" borderId="0" applyNumberFormat="0" applyFill="0" applyBorder="0" applyAlignment="0" applyProtection="0">
      <alignment vertical="center"/>
    </xf>
    <xf numFmtId="0" fontId="180" fillId="138" borderId="0" applyNumberFormat="0" applyBorder="0" applyAlignment="0" applyProtection="0">
      <alignment vertical="center"/>
    </xf>
    <xf numFmtId="0" fontId="159" fillId="118" borderId="0" applyNumberFormat="0" applyBorder="0" applyAlignment="0" applyProtection="0">
      <alignment vertical="center"/>
    </xf>
    <xf numFmtId="0" fontId="180" fillId="126" borderId="0" applyNumberFormat="0" applyBorder="0" applyAlignment="0" applyProtection="0">
      <alignment vertical="center"/>
    </xf>
    <xf numFmtId="0" fontId="159" fillId="114" borderId="0" applyNumberFormat="0" applyBorder="0" applyAlignment="0" applyProtection="0">
      <alignment vertical="center"/>
    </xf>
    <xf numFmtId="0" fontId="180" fillId="133" borderId="0" applyNumberFormat="0" applyBorder="0" applyAlignment="0" applyProtection="0">
      <alignment vertical="center"/>
    </xf>
    <xf numFmtId="0" fontId="159" fillId="135" borderId="0" applyNumberFormat="0" applyBorder="0" applyAlignment="0" applyProtection="0">
      <alignment vertical="center"/>
    </xf>
    <xf numFmtId="0" fontId="180" fillId="139" borderId="0" applyNumberFormat="0" applyBorder="0" applyAlignment="0" applyProtection="0">
      <alignment vertical="center"/>
    </xf>
    <xf numFmtId="0" fontId="159" fillId="140" borderId="0" applyNumberFormat="0" applyBorder="0" applyAlignment="0" applyProtection="0">
      <alignment vertical="center"/>
    </xf>
    <xf numFmtId="0" fontId="184" fillId="133" borderId="0" applyNumberFormat="0" applyBorder="0" applyAlignment="0" applyProtection="0">
      <alignment vertical="center"/>
    </xf>
    <xf numFmtId="0" fontId="185" fillId="120" borderId="190" applyNumberFormat="0" applyAlignment="0" applyProtection="0">
      <alignment vertical="center"/>
    </xf>
    <xf numFmtId="0" fontId="124" fillId="133" borderId="0" applyNumberFormat="0" applyBorder="0" applyAlignment="0" applyProtection="0">
      <alignment vertical="center"/>
    </xf>
    <xf numFmtId="0" fontId="186" fillId="141" borderId="191" applyNumberFormat="0" applyAlignment="0" applyProtection="0">
      <alignment vertical="center"/>
    </xf>
    <xf numFmtId="0" fontId="124" fillId="139" borderId="0" applyNumberFormat="0" applyBorder="0" applyAlignment="0" applyProtection="0">
      <alignment vertical="center"/>
    </xf>
    <xf numFmtId="0" fontId="150" fillId="142" borderId="0" applyNumberFormat="0" applyBorder="0" applyAlignment="0" applyProtection="0">
      <alignment vertical="center"/>
    </xf>
    <xf numFmtId="0" fontId="149" fillId="136" borderId="0" applyNumberFormat="0" applyBorder="0" applyAlignment="0" applyProtection="0">
      <alignment vertical="center"/>
    </xf>
    <xf numFmtId="0" fontId="150" fillId="137" borderId="0" applyNumberFormat="0" applyBorder="0" applyAlignment="0" applyProtection="0">
      <alignment vertical="center"/>
    </xf>
    <xf numFmtId="0" fontId="149" fillId="138" borderId="0" applyNumberFormat="0" applyBorder="0" applyAlignment="0" applyProtection="0">
      <alignment vertical="center"/>
    </xf>
    <xf numFmtId="0" fontId="149" fillId="143" borderId="0" applyNumberFormat="0" applyBorder="0" applyAlignment="0" applyProtection="0">
      <alignment vertical="center"/>
    </xf>
    <xf numFmtId="0" fontId="149" fillId="144" borderId="0" applyNumberFormat="0" applyBorder="0" applyAlignment="0" applyProtection="0">
      <alignment vertical="center"/>
    </xf>
    <xf numFmtId="0" fontId="150" fillId="145" borderId="0" applyNumberFormat="0" applyBorder="0" applyAlignment="0" applyProtection="0">
      <alignment vertical="center"/>
    </xf>
    <xf numFmtId="0" fontId="187" fillId="0" borderId="0" applyNumberFormat="0" applyFill="0" applyBorder="0" applyAlignment="0" applyProtection="0">
      <alignment vertical="center"/>
    </xf>
    <xf numFmtId="0" fontId="156" fillId="0" borderId="0"/>
    <xf numFmtId="0" fontId="71" fillId="131" borderId="0" applyNumberFormat="0" applyFont="0" applyBorder="0" applyAlignment="0" applyProtection="0">
      <alignment vertical="center"/>
    </xf>
    <xf numFmtId="0" fontId="188" fillId="0" borderId="0">
      <alignment vertical="center"/>
    </xf>
    <xf numFmtId="0" fontId="71" fillId="146" borderId="0" applyNumberFormat="0" applyFont="0" applyBorder="0" applyAlignment="0" applyProtection="0">
      <alignment vertical="center"/>
    </xf>
    <xf numFmtId="10" fontId="71" fillId="0" borderId="0" applyFont="0" applyFill="0" applyBorder="0" applyAlignment="0" applyProtection="0">
      <alignment vertical="center"/>
    </xf>
    <xf numFmtId="0" fontId="187" fillId="147" borderId="0" applyNumberFormat="0" applyBorder="0" applyAlignment="0" applyProtection="0">
      <alignment vertical="center"/>
    </xf>
    <xf numFmtId="0" fontId="71" fillId="147" borderId="0" applyNumberFormat="0" applyFont="0" applyBorder="0" applyAlignment="0" applyProtection="0">
      <alignment vertical="center"/>
    </xf>
    <xf numFmtId="38" fontId="96" fillId="120" borderId="0" applyNumberFormat="0" applyBorder="0" applyAlignment="0" applyProtection="0"/>
    <xf numFmtId="0" fontId="189" fillId="147" borderId="0" applyNumberFormat="0" applyBorder="0" applyAlignment="0" applyProtection="0">
      <alignment vertical="center"/>
    </xf>
    <xf numFmtId="0" fontId="71" fillId="147" borderId="0" applyNumberFormat="0" applyFont="0" applyBorder="0" applyAlignment="0" applyProtection="0">
      <alignment vertical="center"/>
    </xf>
    <xf numFmtId="0" fontId="165" fillId="0" borderId="0"/>
    <xf numFmtId="178" fontId="99" fillId="141" borderId="0" applyBorder="0" applyAlignment="0" applyProtection="0">
      <alignment vertical="center"/>
    </xf>
    <xf numFmtId="0" fontId="18" fillId="0" borderId="43" applyNumberFormat="0" applyAlignment="0" applyProtection="0">
      <alignment horizontal="left" vertical="center"/>
    </xf>
    <xf numFmtId="0" fontId="190" fillId="0" borderId="0">
      <alignment vertical="center"/>
    </xf>
    <xf numFmtId="0" fontId="179" fillId="0" borderId="0">
      <alignment vertical="center"/>
    </xf>
    <xf numFmtId="0" fontId="191" fillId="0" borderId="155" applyNumberFormat="0" applyAlignment="0" applyProtection="0">
      <alignment vertical="center"/>
    </xf>
    <xf numFmtId="0" fontId="18" fillId="0" borderId="11">
      <alignment horizontal="left" vertical="center"/>
    </xf>
    <xf numFmtId="0" fontId="191" fillId="0" borderId="50" applyNumberFormat="0" applyProtection="0">
      <alignment horizontal="left" vertical="center"/>
    </xf>
    <xf numFmtId="10" fontId="96" fillId="148" borderId="1" applyNumberFormat="0" applyBorder="0" applyAlignment="0" applyProtection="0"/>
    <xf numFmtId="10" fontId="99" fillId="149" borderId="0" applyBorder="0" applyAlignment="0" applyProtection="0">
      <alignment vertical="center"/>
    </xf>
    <xf numFmtId="0" fontId="192" fillId="0" borderId="0"/>
    <xf numFmtId="0" fontId="193" fillId="0" borderId="0" applyNumberFormat="0" applyBorder="0" applyProtection="0"/>
    <xf numFmtId="0" fontId="194" fillId="0" borderId="0"/>
    <xf numFmtId="10" fontId="156" fillId="0" borderId="0" applyFont="0" applyFill="0" applyBorder="0" applyAlignment="0" applyProtection="0"/>
    <xf numFmtId="0" fontId="149" fillId="150" borderId="0" applyNumberFormat="0" applyBorder="0" applyAlignment="0" applyProtection="0">
      <alignment vertical="center"/>
    </xf>
    <xf numFmtId="0" fontId="150" fillId="151" borderId="0" applyNumberFormat="0" applyBorder="0" applyAlignment="0" applyProtection="0">
      <alignment vertical="center"/>
    </xf>
    <xf numFmtId="0" fontId="149" fillId="143" borderId="0" applyNumberFormat="0" applyBorder="0" applyAlignment="0" applyProtection="0">
      <alignment vertical="center"/>
    </xf>
    <xf numFmtId="0" fontId="150" fillId="81" borderId="0" applyNumberFormat="0" applyBorder="0" applyAlignment="0" applyProtection="0">
      <alignment vertical="center"/>
    </xf>
    <xf numFmtId="0" fontId="149" fillId="144" borderId="0" applyNumberFormat="0" applyBorder="0" applyAlignment="0" applyProtection="0">
      <alignment vertical="center"/>
    </xf>
    <xf numFmtId="0" fontId="150" fillId="145" borderId="0" applyNumberFormat="0" applyBorder="0" applyAlignment="0" applyProtection="0">
      <alignment vertical="center"/>
    </xf>
    <xf numFmtId="0" fontId="149" fillId="152" borderId="0" applyNumberFormat="0" applyBorder="0" applyAlignment="0" applyProtection="0">
      <alignment vertical="center"/>
    </xf>
    <xf numFmtId="0" fontId="150" fillId="153" borderId="0" applyNumberFormat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  <xf numFmtId="0" fontId="195" fillId="99" borderId="0" applyNumberFormat="0" applyBorder="0" applyAlignment="0" applyProtection="0">
      <alignment vertical="center"/>
    </xf>
    <xf numFmtId="9" fontId="71" fillId="0" borderId="0" applyFont="0" applyFill="0" applyBorder="0" applyAlignment="0" applyProtection="0">
      <alignment vertical="center"/>
    </xf>
    <xf numFmtId="0" fontId="195" fillId="99" borderId="0" applyNumberFormat="0" applyBorder="0" applyAlignment="0" applyProtection="0">
      <alignment vertical="center"/>
    </xf>
    <xf numFmtId="9" fontId="188" fillId="0" borderId="0" applyFont="0" applyFill="0" applyBorder="0" applyAlignment="0" applyProtection="0">
      <alignment vertical="center"/>
    </xf>
    <xf numFmtId="9" fontId="188" fillId="0" borderId="0" applyFont="0" applyFill="0" applyBorder="0" applyAlignment="0" applyProtection="0">
      <alignment vertical="center"/>
    </xf>
    <xf numFmtId="9" fontId="71" fillId="0" borderId="0" applyFont="0" applyFill="0" applyBorder="0" applyAlignment="0" applyProtection="0">
      <alignment vertical="center"/>
    </xf>
    <xf numFmtId="0" fontId="196" fillId="0" borderId="0" applyNumberFormat="0" applyFill="0" applyBorder="0" applyAlignment="0" applyProtection="0"/>
    <xf numFmtId="9" fontId="29" fillId="0" borderId="0" applyFont="0" applyFill="0" applyBorder="0" applyAlignment="0" applyProtection="0">
      <alignment vertical="center"/>
    </xf>
    <xf numFmtId="0" fontId="171" fillId="0" borderId="0">
      <alignment vertical="center"/>
    </xf>
    <xf numFmtId="0" fontId="29" fillId="0" borderId="0"/>
    <xf numFmtId="0" fontId="197" fillId="0" borderId="0" applyNumberFormat="0" applyFill="0" applyBorder="0" applyAlignment="0" applyProtection="0">
      <alignment vertical="center"/>
    </xf>
    <xf numFmtId="0" fontId="165" fillId="0" borderId="0"/>
    <xf numFmtId="0" fontId="9" fillId="0" borderId="0">
      <alignment vertical="center"/>
    </xf>
    <xf numFmtId="0" fontId="198" fillId="141" borderId="192" applyNumberFormat="0" applyAlignment="0" applyProtection="0">
      <alignment vertical="center"/>
    </xf>
    <xf numFmtId="0" fontId="199" fillId="97" borderId="0" applyNumberFormat="0" applyBorder="0" applyAlignment="0" applyProtection="0">
      <alignment vertical="center"/>
    </xf>
    <xf numFmtId="0" fontId="200" fillId="99" borderId="0" applyNumberFormat="0" applyBorder="0" applyAlignment="0" applyProtection="0">
      <alignment vertical="center"/>
    </xf>
    <xf numFmtId="0" fontId="174" fillId="97" borderId="0" applyNumberFormat="0" applyBorder="0" applyAlignment="0" applyProtection="0">
      <alignment vertical="center"/>
    </xf>
    <xf numFmtId="0" fontId="201" fillId="97" borderId="0" applyNumberFormat="0" applyBorder="0" applyAlignment="0" applyProtection="0">
      <alignment vertical="center"/>
    </xf>
    <xf numFmtId="0" fontId="201" fillId="97" borderId="0" applyNumberFormat="0" applyBorder="0" applyAlignment="0" applyProtection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71" fillId="0" borderId="0">
      <alignment vertical="center"/>
    </xf>
    <xf numFmtId="0" fontId="9" fillId="0" borderId="0">
      <alignment vertical="center"/>
    </xf>
    <xf numFmtId="0" fontId="29" fillId="0" borderId="0"/>
    <xf numFmtId="0" fontId="202" fillId="89" borderId="0" applyNumberFormat="0" applyBorder="0" applyAlignment="0" applyProtection="0">
      <alignment vertical="center"/>
    </xf>
    <xf numFmtId="0" fontId="29" fillId="0" borderId="0"/>
    <xf numFmtId="0" fontId="29" fillId="0" borderId="0">
      <alignment vertical="center"/>
    </xf>
    <xf numFmtId="0" fontId="111" fillId="0" borderId="0"/>
    <xf numFmtId="0" fontId="9" fillId="0" borderId="0">
      <alignment vertical="center"/>
    </xf>
    <xf numFmtId="0" fontId="29" fillId="0" borderId="0">
      <alignment vertical="center"/>
    </xf>
    <xf numFmtId="0" fontId="203" fillId="0" borderId="0" applyNumberFormat="0" applyFill="0" applyBorder="0" applyAlignment="0" applyProtection="0">
      <alignment vertical="center"/>
    </xf>
    <xf numFmtId="0" fontId="29" fillId="0" borderId="0">
      <alignment vertical="center"/>
    </xf>
    <xf numFmtId="0" fontId="9" fillId="0" borderId="0"/>
    <xf numFmtId="0" fontId="9" fillId="0" borderId="0">
      <alignment vertical="center"/>
    </xf>
    <xf numFmtId="0" fontId="29" fillId="0" borderId="0">
      <alignment vertical="center"/>
    </xf>
    <xf numFmtId="0" fontId="9" fillId="0" borderId="0">
      <alignment vertical="center"/>
    </xf>
    <xf numFmtId="0" fontId="9" fillId="0" borderId="0">
      <alignment vertical="center"/>
    </xf>
    <xf numFmtId="0" fontId="29" fillId="0" borderId="0">
      <alignment vertical="center"/>
    </xf>
    <xf numFmtId="0" fontId="29" fillId="0" borderId="0">
      <alignment vertical="center"/>
    </xf>
    <xf numFmtId="0" fontId="204" fillId="0" borderId="0" applyNumberFormat="0" applyBorder="0" applyProtection="0"/>
    <xf numFmtId="0" fontId="29" fillId="0" borderId="0">
      <alignment vertical="center"/>
    </xf>
    <xf numFmtId="0" fontId="9" fillId="0" borderId="0">
      <alignment vertical="center"/>
    </xf>
    <xf numFmtId="0" fontId="9" fillId="0" borderId="0">
      <alignment vertical="center"/>
    </xf>
    <xf numFmtId="0" fontId="29" fillId="0" borderId="0"/>
    <xf numFmtId="0" fontId="1" fillId="0" borderId="0"/>
    <xf numFmtId="0" fontId="9" fillId="0" borderId="0"/>
    <xf numFmtId="0" fontId="156" fillId="0" borderId="0"/>
    <xf numFmtId="0" fontId="188" fillId="0" borderId="0">
      <alignment vertical="center"/>
    </xf>
    <xf numFmtId="0" fontId="188" fillId="0" borderId="0"/>
    <xf numFmtId="0" fontId="71" fillId="0" borderId="0" applyNumberFormat="0" applyFont="0" applyBorder="0" applyProtection="0"/>
    <xf numFmtId="0" fontId="124" fillId="0" borderId="0">
      <alignment vertical="center"/>
    </xf>
    <xf numFmtId="0" fontId="156" fillId="0" borderId="0"/>
    <xf numFmtId="0" fontId="205" fillId="0" borderId="0"/>
    <xf numFmtId="0" fontId="165" fillId="0" borderId="0"/>
    <xf numFmtId="0" fontId="9" fillId="0" borderId="0">
      <alignment vertical="center"/>
    </xf>
    <xf numFmtId="0" fontId="29" fillId="0" borderId="0">
      <alignment vertical="center"/>
    </xf>
    <xf numFmtId="0" fontId="205" fillId="0" borderId="0"/>
    <xf numFmtId="0" fontId="29" fillId="0" borderId="0"/>
    <xf numFmtId="0" fontId="165" fillId="0" borderId="0"/>
    <xf numFmtId="0" fontId="165" fillId="0" borderId="0"/>
    <xf numFmtId="0" fontId="29" fillId="0" borderId="0"/>
    <xf numFmtId="0" fontId="9" fillId="0" borderId="0"/>
    <xf numFmtId="0" fontId="29" fillId="0" borderId="0"/>
    <xf numFmtId="0" fontId="206" fillId="130" borderId="190" applyNumberFormat="0" applyAlignment="0" applyProtection="0">
      <alignment vertical="center"/>
    </xf>
    <xf numFmtId="0" fontId="29" fillId="0" borderId="0"/>
    <xf numFmtId="0" fontId="1" fillId="0" borderId="0"/>
    <xf numFmtId="0" fontId="71" fillId="0" borderId="0" applyNumberFormat="0" applyFont="0" applyBorder="0" applyProtection="0"/>
    <xf numFmtId="0" fontId="188" fillId="0" borderId="0">
      <alignment vertical="center"/>
    </xf>
    <xf numFmtId="0" fontId="9" fillId="0" borderId="0"/>
    <xf numFmtId="0" fontId="188" fillId="148" borderId="193" applyNumberFormat="0" applyFont="0" applyAlignment="0" applyProtection="0">
      <alignment vertical="center"/>
    </xf>
    <xf numFmtId="0" fontId="29" fillId="0" borderId="0"/>
    <xf numFmtId="0" fontId="188" fillId="0" borderId="0"/>
    <xf numFmtId="0" fontId="1" fillId="0" borderId="0"/>
    <xf numFmtId="0" fontId="71" fillId="0" borderId="0" applyNumberFormat="0" applyFont="0" applyBorder="0" applyProtection="0"/>
    <xf numFmtId="0" fontId="124" fillId="0" borderId="0"/>
    <xf numFmtId="0" fontId="124" fillId="0" borderId="0">
      <alignment vertical="center"/>
    </xf>
    <xf numFmtId="0" fontId="124" fillId="0" borderId="0"/>
    <xf numFmtId="0" fontId="207" fillId="154" borderId="0" applyNumberFormat="0" applyBorder="0" applyAlignment="0" applyProtection="0">
      <alignment vertical="center"/>
    </xf>
    <xf numFmtId="0" fontId="124" fillId="0" borderId="0">
      <alignment vertical="center"/>
    </xf>
    <xf numFmtId="0" fontId="1" fillId="0" borderId="0"/>
    <xf numFmtId="0" fontId="165" fillId="0" borderId="0"/>
    <xf numFmtId="0" fontId="71" fillId="0" borderId="0" applyNumberFormat="0" applyFont="0" applyBorder="0" applyProtection="0"/>
    <xf numFmtId="0" fontId="124" fillId="0" borderId="0">
      <alignment vertical="center"/>
    </xf>
    <xf numFmtId="0" fontId="124" fillId="0" borderId="0"/>
    <xf numFmtId="0" fontId="1" fillId="0" borderId="0"/>
    <xf numFmtId="0" fontId="71" fillId="0" borderId="0" applyNumberFormat="0" applyFont="0" applyBorder="0" applyProtection="0"/>
    <xf numFmtId="0" fontId="2" fillId="0" borderId="0">
      <alignment vertical="center"/>
    </xf>
    <xf numFmtId="0" fontId="194" fillId="0" borderId="0"/>
    <xf numFmtId="0" fontId="156" fillId="0" borderId="0"/>
    <xf numFmtId="0" fontId="179" fillId="0" borderId="0">
      <alignment vertical="center"/>
    </xf>
    <xf numFmtId="0" fontId="208" fillId="0" borderId="0" applyNumberFormat="0" applyBorder="0" applyProtection="0"/>
    <xf numFmtId="0" fontId="190" fillId="0" borderId="0">
      <alignment vertical="center"/>
    </xf>
    <xf numFmtId="0" fontId="209" fillId="0" borderId="0" applyNumberFormat="0" applyFill="0" applyBorder="0" applyAlignment="0" applyProtection="0">
      <alignment vertical="center"/>
    </xf>
    <xf numFmtId="0" fontId="210" fillId="0" borderId="0" applyNumberFormat="0" applyFill="0" applyBorder="0" applyAlignment="0" applyProtection="0">
      <alignment vertical="top"/>
      <protection locked="0"/>
    </xf>
    <xf numFmtId="0" fontId="211" fillId="0" borderId="0" applyNumberFormat="0" applyFill="0" applyBorder="0" applyAlignment="0" applyProtection="0">
      <alignment vertical="top"/>
      <protection locked="0"/>
    </xf>
    <xf numFmtId="0" fontId="196" fillId="0" borderId="0" applyNumberFormat="0" applyFill="0" applyBorder="0" applyAlignment="0" applyProtection="0">
      <alignment vertical="center"/>
    </xf>
    <xf numFmtId="0" fontId="148" fillId="0" borderId="0" applyNumberFormat="0" applyFill="0" applyBorder="0" applyAlignment="0" applyProtection="0">
      <alignment vertical="center"/>
    </xf>
    <xf numFmtId="0" fontId="190" fillId="0" borderId="0">
      <alignment vertical="center"/>
    </xf>
    <xf numFmtId="0" fontId="210" fillId="0" borderId="0" applyNumberFormat="0" applyFill="0" applyBorder="0" applyAlignment="0" applyProtection="0">
      <alignment vertical="top"/>
      <protection locked="0"/>
    </xf>
    <xf numFmtId="0" fontId="210" fillId="0" borderId="0" applyNumberFormat="0" applyFill="0" applyBorder="0" applyAlignment="0" applyProtection="0">
      <alignment vertical="top"/>
      <protection locked="0"/>
    </xf>
    <xf numFmtId="0" fontId="212" fillId="0" borderId="0" applyNumberFormat="0" applyFill="0" applyBorder="0" applyAlignment="0" applyProtection="0">
      <alignment vertical="top"/>
      <protection locked="0"/>
    </xf>
    <xf numFmtId="0" fontId="148" fillId="0" borderId="0" applyNumberFormat="0" applyFill="0" applyBorder="0" applyAlignment="0" applyProtection="0"/>
    <xf numFmtId="0" fontId="213" fillId="97" borderId="0" applyNumberFormat="0" applyBorder="0" applyAlignment="0" applyProtection="0">
      <alignment vertical="center"/>
    </xf>
    <xf numFmtId="0" fontId="214" fillId="125" borderId="0" applyNumberFormat="0" applyBorder="0" applyAlignment="0" applyProtection="0">
      <alignment vertical="center"/>
    </xf>
    <xf numFmtId="0" fontId="215" fillId="99" borderId="0" applyNumberFormat="0" applyBorder="0" applyAlignment="0" applyProtection="0">
      <alignment vertical="center"/>
    </xf>
    <xf numFmtId="0" fontId="215" fillId="99" borderId="0" applyNumberFormat="0" applyBorder="0" applyAlignment="0" applyProtection="0">
      <alignment vertical="center"/>
    </xf>
    <xf numFmtId="43" fontId="9" fillId="0" borderId="0" applyFont="0" applyFill="0" applyBorder="0" applyAlignment="0" applyProtection="0">
      <alignment vertical="center"/>
    </xf>
    <xf numFmtId="43" fontId="29" fillId="0" borderId="0" applyFont="0" applyFill="0" applyBorder="0" applyAlignment="0" applyProtection="0">
      <alignment vertical="center"/>
    </xf>
    <xf numFmtId="0" fontId="216" fillId="129" borderId="0" applyNumberFormat="0" applyBorder="0" applyAlignment="0" applyProtection="0">
      <alignment vertical="center"/>
    </xf>
    <xf numFmtId="0" fontId="216" fillId="150" borderId="0" applyNumberFormat="0" applyBorder="0" applyAlignment="0" applyProtection="0">
      <alignment vertical="center"/>
    </xf>
    <xf numFmtId="0" fontId="216" fillId="144" borderId="0" applyNumberFormat="0" applyBorder="0" applyAlignment="0" applyProtection="0">
      <alignment vertical="center"/>
    </xf>
    <xf numFmtId="0" fontId="71" fillId="149" borderId="194" applyNumberFormat="0" applyFont="0" applyAlignment="0" applyProtection="0">
      <alignment vertical="center"/>
    </xf>
    <xf numFmtId="0" fontId="217" fillId="0" borderId="0">
      <alignment vertical="center"/>
    </xf>
    <xf numFmtId="0" fontId="179" fillId="0" borderId="0">
      <alignment vertical="center"/>
    </xf>
    <xf numFmtId="0" fontId="218" fillId="0" borderId="0">
      <alignment vertical="center"/>
    </xf>
    <xf numFmtId="0" fontId="190" fillId="0" borderId="0">
      <alignment vertical="center"/>
    </xf>
    <xf numFmtId="0" fontId="219" fillId="0" borderId="0" applyNumberFormat="0" applyBorder="0" applyProtection="0">
      <alignment vertical="center"/>
    </xf>
    <xf numFmtId="0" fontId="190" fillId="0" borderId="0">
      <alignment vertical="center"/>
    </xf>
    <xf numFmtId="0" fontId="9" fillId="0" borderId="0"/>
    <xf numFmtId="0" fontId="220" fillId="99" borderId="0" applyNumberFormat="0" applyBorder="0" applyAlignment="0" applyProtection="0">
      <alignment vertical="center"/>
    </xf>
    <xf numFmtId="0" fontId="71" fillId="0" borderId="0" applyNumberFormat="0" applyFont="0" applyBorder="0" applyProtection="0"/>
    <xf numFmtId="0" fontId="1" fillId="0" borderId="0"/>
    <xf numFmtId="0" fontId="29" fillId="0" borderId="0"/>
    <xf numFmtId="0" fontId="190" fillId="0" borderId="0">
      <alignment vertical="center"/>
    </xf>
    <xf numFmtId="0" fontId="218" fillId="0" borderId="0"/>
    <xf numFmtId="0" fontId="221" fillId="155" borderId="0" applyNumberFormat="0" applyBorder="0" applyAlignment="0" applyProtection="0">
      <alignment vertical="center"/>
    </xf>
    <xf numFmtId="0" fontId="222" fillId="121" borderId="0" applyNumberFormat="0" applyBorder="0" applyAlignment="0" applyProtection="0">
      <alignment vertical="center"/>
    </xf>
    <xf numFmtId="0" fontId="223" fillId="0" borderId="0"/>
    <xf numFmtId="0" fontId="224" fillId="0" borderId="0" applyNumberFormat="0" applyFill="0" applyBorder="0" applyAlignment="0" applyProtection="0">
      <alignment vertical="center"/>
    </xf>
    <xf numFmtId="0" fontId="225" fillId="0" borderId="195" applyNumberFormat="0" applyFill="0" applyAlignment="0" applyProtection="0">
      <alignment vertical="center"/>
    </xf>
    <xf numFmtId="0" fontId="226" fillId="0" borderId="0" applyNumberFormat="0" applyFill="0" applyBorder="0" applyAlignment="0" applyProtection="0">
      <alignment vertical="center"/>
    </xf>
    <xf numFmtId="0" fontId="227" fillId="156" borderId="196" applyNumberFormat="0" applyAlignment="0" applyProtection="0">
      <alignment vertical="center"/>
    </xf>
    <xf numFmtId="0" fontId="228" fillId="157" borderId="197" applyNumberFormat="0" applyAlignment="0" applyProtection="0">
      <alignment vertical="center"/>
    </xf>
    <xf numFmtId="0" fontId="229" fillId="0" borderId="198" applyNumberFormat="0" applyFill="0" applyAlignment="0" applyProtection="0">
      <alignment vertical="center"/>
    </xf>
    <xf numFmtId="0" fontId="230" fillId="0" borderId="199" applyNumberFormat="0" applyFill="0" applyAlignment="0" applyProtection="0">
      <alignment vertical="center"/>
    </xf>
    <xf numFmtId="0" fontId="231" fillId="132" borderId="192" applyNumberFormat="0" applyAlignment="0" applyProtection="0">
      <alignment vertical="center"/>
    </xf>
    <xf numFmtId="0" fontId="232" fillId="0" borderId="200" applyNumberFormat="0" applyFill="0" applyAlignment="0" applyProtection="0">
      <alignment vertical="center"/>
    </xf>
    <xf numFmtId="0" fontId="233" fillId="0" borderId="201" applyNumberFormat="0" applyFill="0" applyAlignment="0" applyProtection="0">
      <alignment vertical="center"/>
    </xf>
    <xf numFmtId="0" fontId="234" fillId="0" borderId="202" applyNumberFormat="0" applyFill="0" applyAlignment="0" applyProtection="0">
      <alignment vertical="center"/>
    </xf>
    <xf numFmtId="0" fontId="235" fillId="0" borderId="203" applyNumberFormat="0" applyFill="0" applyAlignment="0" applyProtection="0">
      <alignment vertical="center"/>
    </xf>
    <xf numFmtId="0" fontId="236" fillId="0" borderId="204" applyNumberFormat="0" applyFill="0" applyAlignment="0" applyProtection="0">
      <alignment vertical="center"/>
    </xf>
    <xf numFmtId="0" fontId="237" fillId="0" borderId="205" applyNumberFormat="0" applyFill="0" applyAlignment="0" applyProtection="0">
      <alignment vertical="center"/>
    </xf>
    <xf numFmtId="0" fontId="236" fillId="0" borderId="0" applyNumberFormat="0" applyFill="0" applyBorder="0" applyAlignment="0" applyProtection="0">
      <alignment vertical="center"/>
    </xf>
    <xf numFmtId="0" fontId="237" fillId="0" borderId="0" applyNumberFormat="0" applyFill="0" applyBorder="0" applyAlignment="0" applyProtection="0">
      <alignment vertical="center"/>
    </xf>
    <xf numFmtId="0" fontId="238" fillId="0" borderId="0" applyFont="0" applyFill="0" applyBorder="0" applyAlignment="0" applyProtection="0"/>
    <xf numFmtId="179" fontId="238" fillId="0" borderId="0" applyFont="0" applyFill="0" applyBorder="0" applyAlignment="0" applyProtection="0"/>
    <xf numFmtId="0" fontId="239" fillId="0" borderId="0">
      <alignment vertical="center"/>
    </xf>
  </cellStyleXfs>
  <cellXfs count="2727">
    <xf numFmtId="0" fontId="0" fillId="0" borderId="0" xfId="0">
      <alignment vertical="center"/>
    </xf>
    <xf numFmtId="0" fontId="1" fillId="2" borderId="0" xfId="199" applyFill="1"/>
    <xf numFmtId="0" fontId="1" fillId="0" borderId="0" xfId="199" applyAlignment="1">
      <alignment vertical="center"/>
    </xf>
    <xf numFmtId="0" fontId="1" fillId="0" borderId="0" xfId="199"/>
    <xf numFmtId="0" fontId="1" fillId="0" borderId="0" xfId="199" applyAlignment="1">
      <alignment horizontal="left" vertical="center"/>
    </xf>
    <xf numFmtId="0" fontId="1" fillId="0" borderId="0" xfId="199" applyAlignment="1">
      <alignment horizontal="left" vertical="top"/>
    </xf>
    <xf numFmtId="0" fontId="1" fillId="0" borderId="0" xfId="199" applyAlignment="1">
      <alignment horizontal="center" vertical="center"/>
    </xf>
    <xf numFmtId="0" fontId="1" fillId="0" borderId="0" xfId="199" applyAlignment="1">
      <alignment horizontal="left"/>
    </xf>
    <xf numFmtId="0" fontId="1" fillId="0" borderId="0" xfId="199" applyAlignment="1">
      <alignment horizontal="center"/>
    </xf>
    <xf numFmtId="0" fontId="2" fillId="3" borderId="1" xfId="199" applyFont="1" applyFill="1" applyBorder="1" applyAlignment="1">
      <alignment horizontal="center" vertical="center"/>
    </xf>
    <xf numFmtId="0" fontId="3" fillId="3" borderId="1" xfId="199" applyFont="1" applyFill="1" applyBorder="1" applyAlignment="1">
      <alignment horizontal="center" vertical="center"/>
    </xf>
    <xf numFmtId="0" fontId="4" fillId="0" borderId="1" xfId="199" applyFont="1" applyBorder="1" applyAlignment="1">
      <alignment horizontal="center" vertical="center"/>
    </xf>
    <xf numFmtId="0" fontId="3" fillId="0" borderId="2" xfId="199" applyFont="1" applyBorder="1" applyAlignment="1">
      <alignment horizontal="center" vertical="center"/>
    </xf>
    <xf numFmtId="0" fontId="3" fillId="0" borderId="1" xfId="199" applyFont="1" applyBorder="1" applyAlignment="1">
      <alignment horizontal="center" vertical="center"/>
    </xf>
    <xf numFmtId="0" fontId="3" fillId="4" borderId="1" xfId="199" applyFont="1" applyFill="1" applyBorder="1" applyAlignment="1">
      <alignment horizontal="center" vertical="center"/>
    </xf>
    <xf numFmtId="0" fontId="3" fillId="0" borderId="3" xfId="199" applyFont="1" applyBorder="1" applyAlignment="1">
      <alignment horizontal="center" vertical="center"/>
    </xf>
    <xf numFmtId="0" fontId="4" fillId="0" borderId="2" xfId="199" applyFont="1" applyBorder="1" applyAlignment="1">
      <alignment horizontal="center" vertical="center"/>
    </xf>
    <xf numFmtId="0" fontId="3" fillId="0" borderId="1" xfId="199" applyFont="1" applyBorder="1" applyAlignment="1">
      <alignment horizontal="center" vertical="top"/>
    </xf>
    <xf numFmtId="0" fontId="3" fillId="0" borderId="4" xfId="199" applyFont="1" applyBorder="1" applyAlignment="1">
      <alignment horizontal="center" vertical="center"/>
    </xf>
    <xf numFmtId="0" fontId="4" fillId="0" borderId="3" xfId="199" applyFont="1" applyBorder="1" applyAlignment="1">
      <alignment horizontal="center" vertical="center"/>
    </xf>
    <xf numFmtId="0" fontId="3" fillId="2" borderId="1" xfId="199" applyFont="1" applyFill="1" applyBorder="1" applyAlignment="1">
      <alignment horizontal="center" vertical="center"/>
    </xf>
    <xf numFmtId="0" fontId="3" fillId="2" borderId="1" xfId="199" applyFont="1" applyFill="1" applyBorder="1" applyAlignment="1">
      <alignment horizontal="center" vertical="top"/>
    </xf>
    <xf numFmtId="0" fontId="5" fillId="0" borderId="0" xfId="0" applyFont="1" applyAlignment="1">
      <alignment horizontal="center" vertical="center"/>
    </xf>
    <xf numFmtId="0" fontId="3" fillId="0" borderId="1" xfId="199" applyFont="1" applyFill="1" applyBorder="1" applyAlignment="1">
      <alignment horizontal="center" vertical="center"/>
    </xf>
    <xf numFmtId="0" fontId="3" fillId="0" borderId="5" xfId="199" applyFont="1" applyBorder="1" applyAlignment="1">
      <alignment horizontal="center" vertical="center"/>
    </xf>
    <xf numFmtId="0" fontId="3" fillId="0" borderId="6" xfId="199" applyFont="1" applyBorder="1" applyAlignment="1">
      <alignment horizontal="center" vertical="center"/>
    </xf>
    <xf numFmtId="0" fontId="3" fillId="0" borderId="4" xfId="199" applyFont="1" applyBorder="1" applyAlignment="1">
      <alignment horizontal="center" vertical="top"/>
    </xf>
    <xf numFmtId="0" fontId="3" fillId="0" borderId="1" xfId="199" applyFont="1" applyBorder="1" applyAlignment="1">
      <alignment horizontal="center" vertical="center" wrapText="1"/>
    </xf>
    <xf numFmtId="0" fontId="2" fillId="0" borderId="7" xfId="199" applyFont="1" applyBorder="1" applyAlignment="1">
      <alignment horizontal="center" vertical="center"/>
    </xf>
    <xf numFmtId="0" fontId="4" fillId="0" borderId="4" xfId="199" applyFont="1" applyBorder="1" applyAlignment="1">
      <alignment horizontal="center" vertical="center"/>
    </xf>
    <xf numFmtId="0" fontId="2" fillId="0" borderId="8" xfId="199" applyFont="1" applyBorder="1" applyAlignment="1">
      <alignment horizontal="center" vertical="center"/>
    </xf>
    <xf numFmtId="0" fontId="3" fillId="3" borderId="1" xfId="199" applyFont="1" applyFill="1" applyBorder="1" applyAlignment="1">
      <alignment horizontal="center" vertical="center" wrapText="1"/>
    </xf>
    <xf numFmtId="0" fontId="3" fillId="3" borderId="1" xfId="199" applyFont="1" applyFill="1" applyBorder="1" applyAlignment="1">
      <alignment horizontal="center" vertical="top" wrapText="1"/>
    </xf>
    <xf numFmtId="9" fontId="3" fillId="0" borderId="4" xfId="199" applyNumberFormat="1" applyFont="1" applyBorder="1" applyAlignment="1">
      <alignment horizontal="center" vertical="center"/>
    </xf>
    <xf numFmtId="9" fontId="3" fillId="0" borderId="1" xfId="199" applyNumberFormat="1" applyFont="1" applyBorder="1" applyAlignment="1">
      <alignment horizontal="center" vertical="center"/>
    </xf>
    <xf numFmtId="9" fontId="3" fillId="0" borderId="3" xfId="199" applyNumberFormat="1" applyFont="1" applyBorder="1" applyAlignment="1">
      <alignment horizontal="center" vertical="center"/>
    </xf>
    <xf numFmtId="0" fontId="3" fillId="0" borderId="3" xfId="199" applyFont="1" applyBorder="1" applyAlignment="1">
      <alignment horizontal="center" vertical="top"/>
    </xf>
    <xf numFmtId="0" fontId="6" fillId="3" borderId="1" xfId="199" applyFont="1" applyFill="1" applyBorder="1" applyAlignment="1">
      <alignment horizontal="center" vertical="center"/>
    </xf>
    <xf numFmtId="10" fontId="3" fillId="4" borderId="1" xfId="154" applyNumberFormat="1" applyFont="1" applyFill="1" applyBorder="1" applyAlignment="1">
      <alignment horizontal="center" vertical="center"/>
    </xf>
    <xf numFmtId="10" fontId="3" fillId="0" borderId="1" xfId="199" applyNumberFormat="1" applyFont="1" applyBorder="1" applyAlignment="1">
      <alignment horizontal="center" vertical="center"/>
    </xf>
    <xf numFmtId="10" fontId="3" fillId="0" borderId="4" xfId="199" applyNumberFormat="1" applyFont="1" applyBorder="1" applyAlignment="1">
      <alignment horizontal="center" vertical="center"/>
    </xf>
    <xf numFmtId="10" fontId="7" fillId="0" borderId="4" xfId="199" applyNumberFormat="1" applyFont="1" applyBorder="1" applyAlignment="1">
      <alignment horizontal="center" vertical="center"/>
    </xf>
    <xf numFmtId="10" fontId="3" fillId="2" borderId="1" xfId="154" applyNumberFormat="1" applyFont="1" applyFill="1" applyBorder="1" applyAlignment="1">
      <alignment horizontal="center" vertical="center"/>
    </xf>
    <xf numFmtId="10" fontId="7" fillId="2" borderId="1" xfId="154" applyNumberFormat="1" applyFont="1" applyFill="1" applyBorder="1" applyAlignment="1">
      <alignment horizontal="center" vertical="center"/>
    </xf>
    <xf numFmtId="10" fontId="3" fillId="2" borderId="4" xfId="199" applyNumberFormat="1" applyFont="1" applyFill="1" applyBorder="1" applyAlignment="1">
      <alignment horizontal="center" vertical="center"/>
    </xf>
    <xf numFmtId="10" fontId="3" fillId="0" borderId="1" xfId="154" applyNumberFormat="1" applyFont="1" applyBorder="1" applyAlignment="1">
      <alignment horizontal="center" vertical="center"/>
    </xf>
    <xf numFmtId="10" fontId="7" fillId="0" borderId="1" xfId="154" applyNumberFormat="1" applyFont="1" applyBorder="1" applyAlignment="1">
      <alignment horizontal="center" vertical="center"/>
    </xf>
    <xf numFmtId="10" fontId="3" fillId="0" borderId="2" xfId="154" applyNumberFormat="1" applyFont="1" applyBorder="1" applyAlignment="1">
      <alignment horizontal="center" vertical="center" wrapText="1"/>
    </xf>
    <xf numFmtId="10" fontId="3" fillId="0" borderId="4" xfId="154" applyNumberFormat="1" applyFont="1" applyBorder="1" applyAlignment="1">
      <alignment horizontal="center" vertical="center" wrapText="1"/>
    </xf>
    <xf numFmtId="10" fontId="8" fillId="0" borderId="1" xfId="154" applyNumberFormat="1" applyFont="1" applyBorder="1" applyAlignment="1">
      <alignment horizontal="center" vertical="center"/>
    </xf>
    <xf numFmtId="10" fontId="3" fillId="0" borderId="1" xfId="154" applyNumberFormat="1" applyFont="1" applyBorder="1" applyAlignment="1">
      <alignment horizontal="center" vertical="center" wrapText="1"/>
    </xf>
    <xf numFmtId="10" fontId="7" fillId="0" borderId="1" xfId="154" applyNumberFormat="1" applyFont="1" applyBorder="1" applyAlignment="1">
      <alignment horizontal="center" vertical="center" wrapText="1"/>
    </xf>
    <xf numFmtId="10" fontId="3" fillId="0" borderId="2" xfId="154" applyNumberFormat="1" applyFont="1" applyBorder="1" applyAlignment="1">
      <alignment horizontal="center" vertical="center"/>
    </xf>
    <xf numFmtId="10" fontId="7" fillId="0" borderId="2" xfId="154" applyNumberFormat="1" applyFont="1" applyBorder="1" applyAlignment="1">
      <alignment horizontal="center" vertical="center"/>
    </xf>
    <xf numFmtId="10" fontId="3" fillId="0" borderId="3" xfId="199" applyNumberFormat="1" applyFont="1" applyBorder="1" applyAlignment="1">
      <alignment horizontal="center" vertical="center"/>
    </xf>
    <xf numFmtId="10" fontId="3" fillId="0" borderId="4" xfId="154" applyNumberFormat="1" applyFont="1" applyBorder="1" applyAlignment="1">
      <alignment horizontal="center" vertical="center"/>
    </xf>
    <xf numFmtId="10" fontId="7" fillId="0" borderId="4" xfId="154" applyNumberFormat="1" applyFont="1" applyBorder="1" applyAlignment="1">
      <alignment horizontal="center" vertical="center"/>
    </xf>
    <xf numFmtId="180" fontId="1" fillId="0" borderId="0" xfId="199" applyNumberFormat="1" applyAlignment="1">
      <alignment horizontal="center" vertical="center"/>
    </xf>
    <xf numFmtId="10" fontId="1" fillId="0" borderId="0" xfId="199" applyNumberFormat="1" applyAlignment="1">
      <alignment horizontal="center" vertical="center"/>
    </xf>
    <xf numFmtId="0" fontId="4" fillId="0" borderId="0" xfId="200" applyFont="1" applyAlignment="1">
      <alignment horizontal="center"/>
    </xf>
    <xf numFmtId="0" fontId="4" fillId="0" borderId="0" xfId="200" applyFont="1" applyAlignment="1">
      <alignment horizontal="center" wrapText="1"/>
    </xf>
    <xf numFmtId="0" fontId="4" fillId="2" borderId="0" xfId="200" applyFont="1" applyFill="1" applyAlignment="1">
      <alignment horizontal="center" wrapText="1"/>
    </xf>
    <xf numFmtId="0" fontId="9" fillId="5" borderId="0" xfId="273" applyFill="1"/>
    <xf numFmtId="0" fontId="9" fillId="0" borderId="0" xfId="273"/>
    <xf numFmtId="181" fontId="4" fillId="0" borderId="0" xfId="200" applyNumberFormat="1" applyFont="1" applyAlignment="1">
      <alignment horizontal="center"/>
    </xf>
    <xf numFmtId="9" fontId="4" fillId="6" borderId="9" xfId="200" applyNumberFormat="1" applyFont="1" applyFill="1" applyBorder="1" applyAlignment="1">
      <alignment horizontal="center" vertical="center"/>
    </xf>
    <xf numFmtId="183" fontId="3" fillId="7" borderId="1" xfId="200" applyNumberFormat="1" applyFont="1" applyFill="1" applyBorder="1" applyAlignment="1">
      <alignment horizontal="center" vertical="center"/>
    </xf>
    <xf numFmtId="183" fontId="4" fillId="0" borderId="0" xfId="200" applyNumberFormat="1" applyFont="1" applyAlignment="1">
      <alignment horizontal="center"/>
    </xf>
    <xf numFmtId="185" fontId="4" fillId="6" borderId="1" xfId="200" applyNumberFormat="1" applyFont="1" applyFill="1" applyBorder="1" applyAlignment="1">
      <alignment horizontal="center" vertical="center"/>
    </xf>
    <xf numFmtId="181" fontId="4" fillId="0" borderId="0" xfId="200" applyNumberFormat="1" applyFont="1" applyAlignment="1">
      <alignment horizontal="center" wrapText="1"/>
    </xf>
    <xf numFmtId="0" fontId="4" fillId="6" borderId="9" xfId="200" applyFont="1" applyFill="1" applyBorder="1" applyAlignment="1">
      <alignment horizontal="center" vertical="center"/>
    </xf>
    <xf numFmtId="1" fontId="10" fillId="7" borderId="1" xfId="268" applyNumberFormat="1" applyFont="1" applyFill="1" applyBorder="1" applyAlignment="1">
      <alignment horizontal="center" vertical="center" wrapText="1"/>
    </xf>
    <xf numFmtId="183" fontId="3" fillId="7" borderId="1" xfId="200" applyNumberFormat="1" applyFont="1" applyFill="1" applyBorder="1" applyAlignment="1">
      <alignment horizontal="center" vertical="center" wrapText="1"/>
    </xf>
    <xf numFmtId="10" fontId="3" fillId="7" borderId="1" xfId="200" applyNumberFormat="1" applyFont="1" applyFill="1" applyBorder="1" applyAlignment="1">
      <alignment horizontal="center" vertical="center" wrapText="1"/>
    </xf>
    <xf numFmtId="183" fontId="4" fillId="0" borderId="0" xfId="200" applyNumberFormat="1" applyFont="1" applyAlignment="1">
      <alignment horizontal="center" wrapText="1"/>
    </xf>
    <xf numFmtId="0" fontId="4" fillId="6" borderId="1" xfId="200" applyFont="1" applyFill="1" applyBorder="1" applyAlignment="1">
      <alignment horizontal="center" vertical="center"/>
    </xf>
    <xf numFmtId="181" fontId="4" fillId="2" borderId="0" xfId="200" applyNumberFormat="1" applyFont="1" applyFill="1" applyAlignment="1">
      <alignment horizontal="center" wrapText="1"/>
    </xf>
    <xf numFmtId="0" fontId="4" fillId="2" borderId="0" xfId="200" applyFont="1" applyFill="1" applyBorder="1" applyAlignment="1">
      <alignment horizontal="center" vertical="center"/>
    </xf>
    <xf numFmtId="1" fontId="10" fillId="2" borderId="0" xfId="268" applyNumberFormat="1" applyFont="1" applyFill="1" applyBorder="1" applyAlignment="1">
      <alignment horizontal="center" vertical="center" wrapText="1"/>
    </xf>
    <xf numFmtId="183" fontId="3" fillId="2" borderId="0" xfId="200" applyNumberFormat="1" applyFont="1" applyFill="1" applyBorder="1" applyAlignment="1">
      <alignment horizontal="center" vertical="center" wrapText="1"/>
    </xf>
    <xf numFmtId="9" fontId="4" fillId="6" borderId="1" xfId="200" applyNumberFormat="1" applyFont="1" applyFill="1" applyBorder="1" applyAlignment="1">
      <alignment horizontal="center" vertical="center"/>
    </xf>
    <xf numFmtId="183" fontId="4" fillId="2" borderId="0" xfId="200" applyNumberFormat="1" applyFont="1" applyFill="1" applyAlignment="1">
      <alignment horizontal="center" wrapText="1"/>
    </xf>
    <xf numFmtId="9" fontId="10" fillId="7" borderId="1" xfId="16" applyFont="1" applyFill="1" applyBorder="1" applyAlignment="1">
      <alignment horizontal="center" vertical="center" wrapText="1"/>
    </xf>
    <xf numFmtId="0" fontId="11" fillId="0" borderId="0" xfId="200" applyFont="1" applyAlignment="1">
      <alignment horizontal="left" vertical="center" wrapText="1"/>
    </xf>
    <xf numFmtId="0" fontId="12" fillId="0" borderId="0" xfId="200" applyFont="1" applyAlignment="1">
      <alignment horizontal="left" vertical="center" wrapText="1"/>
    </xf>
    <xf numFmtId="0" fontId="13" fillId="0" borderId="1" xfId="200" applyFont="1" applyBorder="1" applyAlignment="1">
      <alignment horizontal="center"/>
    </xf>
    <xf numFmtId="0" fontId="11" fillId="8" borderId="10" xfId="200" applyFont="1" applyFill="1" applyBorder="1" applyAlignment="1">
      <alignment horizontal="center"/>
    </xf>
    <xf numFmtId="0" fontId="11" fillId="8" borderId="11" xfId="200" applyFont="1" applyFill="1" applyBorder="1" applyAlignment="1">
      <alignment horizontal="center"/>
    </xf>
    <xf numFmtId="0" fontId="11" fillId="8" borderId="12" xfId="200" applyFont="1" applyFill="1" applyBorder="1" applyAlignment="1">
      <alignment horizontal="center"/>
    </xf>
    <xf numFmtId="0" fontId="11" fillId="9" borderId="10" xfId="200" applyFont="1" applyFill="1" applyBorder="1" applyAlignment="1">
      <alignment horizontal="center"/>
    </xf>
    <xf numFmtId="0" fontId="11" fillId="9" borderId="11" xfId="200" applyFont="1" applyFill="1" applyBorder="1" applyAlignment="1">
      <alignment horizontal="center"/>
    </xf>
    <xf numFmtId="0" fontId="11" fillId="9" borderId="12" xfId="200" applyFont="1" applyFill="1" applyBorder="1" applyAlignment="1">
      <alignment horizontal="center"/>
    </xf>
    <xf numFmtId="0" fontId="13" fillId="0" borderId="10" xfId="200" applyFont="1" applyBorder="1" applyAlignment="1">
      <alignment horizontal="center"/>
    </xf>
    <xf numFmtId="0" fontId="11" fillId="8" borderId="1" xfId="200" applyFont="1" applyFill="1" applyBorder="1" applyAlignment="1">
      <alignment horizontal="center"/>
    </xf>
    <xf numFmtId="1" fontId="10" fillId="9" borderId="1" xfId="268" applyNumberFormat="1" applyFont="1" applyFill="1" applyBorder="1" applyAlignment="1">
      <alignment horizontal="center" vertical="center"/>
    </xf>
    <xf numFmtId="0" fontId="11" fillId="0" borderId="1" xfId="273" applyFont="1" applyBorder="1" applyAlignment="1">
      <alignment horizontal="center" vertical="center" wrapText="1"/>
    </xf>
    <xf numFmtId="0" fontId="14" fillId="0" borderId="13" xfId="200" applyFont="1" applyBorder="1" applyAlignment="1">
      <alignment horizontal="left" vertical="center" wrapText="1"/>
    </xf>
    <xf numFmtId="1" fontId="10" fillId="10" borderId="1" xfId="268" applyNumberFormat="1" applyFont="1" applyFill="1" applyBorder="1" applyAlignment="1">
      <alignment horizontal="center" vertical="center"/>
    </xf>
    <xf numFmtId="9" fontId="11" fillId="0" borderId="1" xfId="273" applyNumberFormat="1" applyFont="1" applyBorder="1" applyAlignment="1">
      <alignment horizontal="center" vertical="center"/>
    </xf>
    <xf numFmtId="0" fontId="4" fillId="5" borderId="10" xfId="200" applyFont="1" applyFill="1" applyBorder="1" applyAlignment="1">
      <alignment horizontal="center" vertical="center"/>
    </xf>
    <xf numFmtId="10" fontId="4" fillId="4" borderId="12" xfId="200" applyNumberFormat="1" applyFont="1" applyFill="1" applyBorder="1" applyAlignment="1">
      <alignment horizontal="center" vertical="center"/>
    </xf>
    <xf numFmtId="10" fontId="4" fillId="4" borderId="12" xfId="16" applyNumberFormat="1" applyFont="1" applyFill="1" applyBorder="1" applyAlignment="1">
      <alignment horizontal="center" vertical="center"/>
    </xf>
    <xf numFmtId="10" fontId="4" fillId="4" borderId="1" xfId="200" applyNumberFormat="1" applyFont="1" applyFill="1" applyBorder="1" applyAlignment="1">
      <alignment horizontal="center" vertical="center"/>
    </xf>
    <xf numFmtId="185" fontId="11" fillId="0" borderId="1" xfId="273" applyNumberFormat="1" applyFont="1" applyBorder="1" applyAlignment="1">
      <alignment horizontal="center" vertical="center"/>
    </xf>
    <xf numFmtId="0" fontId="11" fillId="7" borderId="10" xfId="200" applyFont="1" applyFill="1" applyBorder="1" applyAlignment="1">
      <alignment horizontal="center"/>
    </xf>
    <xf numFmtId="0" fontId="11" fillId="7" borderId="11" xfId="200" applyFont="1" applyFill="1" applyBorder="1" applyAlignment="1">
      <alignment horizontal="center"/>
    </xf>
    <xf numFmtId="0" fontId="11" fillId="7" borderId="12" xfId="200" applyFont="1" applyFill="1" applyBorder="1" applyAlignment="1">
      <alignment horizontal="center"/>
    </xf>
    <xf numFmtId="0" fontId="11" fillId="11" borderId="10" xfId="200" applyFont="1" applyFill="1" applyBorder="1" applyAlignment="1">
      <alignment horizontal="center"/>
    </xf>
    <xf numFmtId="0" fontId="11" fillId="11" borderId="11" xfId="200" applyFont="1" applyFill="1" applyBorder="1" applyAlignment="1">
      <alignment horizontal="center"/>
    </xf>
    <xf numFmtId="0" fontId="11" fillId="11" borderId="12" xfId="200" applyFont="1" applyFill="1" applyBorder="1" applyAlignment="1">
      <alignment horizontal="center"/>
    </xf>
    <xf numFmtId="1" fontId="10" fillId="7" borderId="1" xfId="268" applyNumberFormat="1" applyFont="1" applyFill="1" applyBorder="1" applyAlignment="1">
      <alignment horizontal="center" vertical="center"/>
    </xf>
    <xf numFmtId="1" fontId="10" fillId="11" borderId="1" xfId="268" applyNumberFormat="1" applyFont="1" applyFill="1" applyBorder="1" applyAlignment="1">
      <alignment horizontal="center" vertical="center"/>
    </xf>
    <xf numFmtId="10" fontId="4" fillId="4" borderId="3" xfId="200" applyNumberFormat="1" applyFont="1" applyFill="1" applyBorder="1" applyAlignment="1">
      <alignment horizontal="center" vertical="center"/>
    </xf>
    <xf numFmtId="10" fontId="15" fillId="12" borderId="1" xfId="200" applyNumberFormat="1" applyFont="1" applyFill="1" applyBorder="1" applyAlignment="1">
      <alignment horizontal="center" vertical="center"/>
    </xf>
    <xf numFmtId="10" fontId="4" fillId="2" borderId="1" xfId="200" applyNumberFormat="1" applyFont="1" applyFill="1" applyBorder="1" applyAlignment="1">
      <alignment horizontal="center" vertical="center"/>
    </xf>
    <xf numFmtId="10" fontId="4" fillId="13" borderId="1" xfId="200" applyNumberFormat="1" applyFont="1" applyFill="1" applyBorder="1" applyAlignment="1">
      <alignment horizontal="center" vertical="center"/>
    </xf>
    <xf numFmtId="0" fontId="4" fillId="6" borderId="0" xfId="200" applyFont="1" applyFill="1" applyAlignment="1">
      <alignment horizontal="center"/>
    </xf>
    <xf numFmtId="183" fontId="3" fillId="7" borderId="0" xfId="200" applyNumberFormat="1" applyFont="1" applyFill="1" applyBorder="1" applyAlignment="1">
      <alignment horizontal="center" vertical="center"/>
    </xf>
    <xf numFmtId="0" fontId="4" fillId="6" borderId="0" xfId="200" applyFont="1" applyFill="1" applyAlignment="1">
      <alignment horizontal="center" wrapText="1"/>
    </xf>
    <xf numFmtId="10" fontId="3" fillId="7" borderId="0" xfId="200" applyNumberFormat="1" applyFont="1" applyFill="1" applyBorder="1" applyAlignment="1">
      <alignment horizontal="center" vertical="center" wrapText="1"/>
    </xf>
    <xf numFmtId="10" fontId="9" fillId="0" borderId="0" xfId="273" applyNumberFormat="1"/>
    <xf numFmtId="0" fontId="11" fillId="9" borderId="1" xfId="200" applyFont="1" applyFill="1" applyBorder="1" applyAlignment="1">
      <alignment horizontal="center"/>
    </xf>
    <xf numFmtId="0" fontId="11" fillId="7" borderId="1" xfId="200" applyFont="1" applyFill="1" applyBorder="1" applyAlignment="1">
      <alignment horizontal="center"/>
    </xf>
    <xf numFmtId="183" fontId="10" fillId="0" borderId="0" xfId="200" applyNumberFormat="1" applyFont="1" applyAlignment="1">
      <alignment horizontal="center"/>
    </xf>
    <xf numFmtId="183" fontId="10" fillId="0" borderId="0" xfId="200" applyNumberFormat="1" applyFont="1" applyAlignment="1">
      <alignment horizontal="center" wrapText="1"/>
    </xf>
    <xf numFmtId="0" fontId="11" fillId="11" borderId="1" xfId="200" applyFont="1" applyFill="1" applyBorder="1" applyAlignment="1">
      <alignment horizontal="center"/>
    </xf>
    <xf numFmtId="0" fontId="4" fillId="0" borderId="0" xfId="199" applyFont="1" applyAlignment="1">
      <alignment horizontal="center" wrapText="1"/>
    </xf>
    <xf numFmtId="0" fontId="4" fillId="14" borderId="0" xfId="199" applyFont="1" applyFill="1" applyAlignment="1">
      <alignment horizontal="center"/>
    </xf>
    <xf numFmtId="0" fontId="4" fillId="0" borderId="0" xfId="199" applyFont="1" applyFill="1" applyAlignment="1">
      <alignment horizontal="center" vertical="center"/>
    </xf>
    <xf numFmtId="181" fontId="4" fillId="0" borderId="0" xfId="199" applyNumberFormat="1" applyFont="1" applyAlignment="1">
      <alignment horizontal="center"/>
    </xf>
    <xf numFmtId="0" fontId="4" fillId="0" borderId="0" xfId="199" applyFont="1" applyAlignment="1">
      <alignment horizontal="center"/>
    </xf>
    <xf numFmtId="183" fontId="4" fillId="0" borderId="0" xfId="199" applyNumberFormat="1" applyFont="1" applyAlignment="1">
      <alignment horizontal="center"/>
    </xf>
    <xf numFmtId="183" fontId="4" fillId="10" borderId="0" xfId="199" applyNumberFormat="1" applyFont="1" applyFill="1" applyAlignment="1">
      <alignment horizontal="center"/>
    </xf>
    <xf numFmtId="183" fontId="4" fillId="14" borderId="0" xfId="199" applyNumberFormat="1" applyFont="1" applyFill="1" applyAlignment="1">
      <alignment horizontal="center"/>
    </xf>
    <xf numFmtId="183" fontId="4" fillId="2" borderId="0" xfId="199" applyNumberFormat="1" applyFont="1" applyFill="1" applyAlignment="1">
      <alignment horizontal="center"/>
    </xf>
    <xf numFmtId="183" fontId="4" fillId="2" borderId="0" xfId="200" applyNumberFormat="1" applyFont="1" applyFill="1" applyAlignment="1">
      <alignment horizontal="center"/>
    </xf>
    <xf numFmtId="0" fontId="4" fillId="6" borderId="0" xfId="199" applyFont="1" applyFill="1" applyAlignment="1">
      <alignment horizontal="center"/>
    </xf>
    <xf numFmtId="183" fontId="3" fillId="7" borderId="1" xfId="199" applyNumberFormat="1" applyFont="1" applyFill="1" applyBorder="1" applyAlignment="1">
      <alignment horizontal="center" vertical="center"/>
    </xf>
    <xf numFmtId="183" fontId="16" fillId="7" borderId="1" xfId="267" applyNumberFormat="1" applyFont="1" applyFill="1" applyBorder="1" applyAlignment="1">
      <alignment horizontal="center" vertical="center" wrapText="1"/>
    </xf>
    <xf numFmtId="0" fontId="17" fillId="15" borderId="1" xfId="199" applyFont="1" applyFill="1" applyBorder="1" applyAlignment="1">
      <alignment horizontal="center" vertical="center"/>
    </xf>
    <xf numFmtId="183" fontId="18" fillId="4" borderId="10" xfId="199" applyNumberFormat="1" applyFont="1" applyFill="1" applyBorder="1" applyAlignment="1">
      <alignment horizontal="center" vertical="center" wrapText="1"/>
    </xf>
    <xf numFmtId="183" fontId="18" fillId="4" borderId="11" xfId="199" applyNumberFormat="1" applyFont="1" applyFill="1" applyBorder="1" applyAlignment="1">
      <alignment horizontal="center" vertical="center" wrapText="1"/>
    </xf>
    <xf numFmtId="183" fontId="18" fillId="4" borderId="12" xfId="199" applyNumberFormat="1" applyFont="1" applyFill="1" applyBorder="1" applyAlignment="1">
      <alignment horizontal="center" vertical="center" wrapText="1"/>
    </xf>
    <xf numFmtId="183" fontId="17" fillId="11" borderId="10" xfId="199" applyNumberFormat="1" applyFont="1" applyFill="1" applyBorder="1" applyAlignment="1">
      <alignment horizontal="center" vertical="center" wrapText="1"/>
    </xf>
    <xf numFmtId="0" fontId="4" fillId="15" borderId="1" xfId="199" applyFont="1" applyFill="1" applyBorder="1" applyAlignment="1">
      <alignment horizontal="center" vertical="center"/>
    </xf>
    <xf numFmtId="1" fontId="10" fillId="0" borderId="1" xfId="267" applyNumberFormat="1" applyFont="1" applyFill="1" applyBorder="1" applyAlignment="1">
      <alignment horizontal="center" vertical="center"/>
    </xf>
    <xf numFmtId="1" fontId="10" fillId="0" borderId="1" xfId="267" applyNumberFormat="1" applyFont="1" applyBorder="1" applyAlignment="1">
      <alignment horizontal="center" vertical="center"/>
    </xf>
    <xf numFmtId="181" fontId="4" fillId="0" borderId="0" xfId="199" applyNumberFormat="1" applyFont="1" applyAlignment="1">
      <alignment horizontal="center" wrapText="1"/>
    </xf>
    <xf numFmtId="0" fontId="4" fillId="15" borderId="1" xfId="199" applyFont="1" applyFill="1" applyBorder="1" applyAlignment="1">
      <alignment horizontal="center" vertical="center" wrapText="1"/>
    </xf>
    <xf numFmtId="183" fontId="10" fillId="0" borderId="1" xfId="267" applyNumberFormat="1" applyFont="1" applyFill="1" applyBorder="1" applyAlignment="1">
      <alignment horizontal="center" vertical="center" wrapText="1"/>
    </xf>
    <xf numFmtId="183" fontId="10" fillId="0" borderId="1" xfId="267" applyNumberFormat="1" applyFont="1" applyBorder="1" applyAlignment="1">
      <alignment horizontal="center" vertical="center" wrapText="1"/>
    </xf>
    <xf numFmtId="0" fontId="3" fillId="15" borderId="1" xfId="199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181" fontId="4" fillId="14" borderId="0" xfId="199" applyNumberFormat="1" applyFont="1" applyFill="1" applyAlignment="1">
      <alignment horizontal="center"/>
    </xf>
    <xf numFmtId="0" fontId="17" fillId="14" borderId="13" xfId="199" applyFont="1" applyFill="1" applyBorder="1" applyAlignment="1">
      <alignment vertical="center" wrapText="1"/>
    </xf>
    <xf numFmtId="0" fontId="17" fillId="14" borderId="14" xfId="199" applyFont="1" applyFill="1" applyBorder="1" applyAlignment="1">
      <alignment vertical="center"/>
    </xf>
    <xf numFmtId="183" fontId="10" fillId="14" borderId="1" xfId="267" applyNumberFormat="1" applyFont="1" applyFill="1" applyBorder="1" applyAlignment="1">
      <alignment horizontal="center" vertical="center"/>
    </xf>
    <xf numFmtId="181" fontId="4" fillId="0" borderId="0" xfId="199" applyNumberFormat="1" applyFont="1" applyFill="1" applyAlignment="1">
      <alignment horizontal="center" vertical="center"/>
    </xf>
    <xf numFmtId="0" fontId="4" fillId="0" borderId="10" xfId="199" applyFont="1" applyFill="1" applyBorder="1" applyAlignment="1">
      <alignment horizontal="center" vertical="center"/>
    </xf>
    <xf numFmtId="0" fontId="4" fillId="0" borderId="12" xfId="199" applyFont="1" applyFill="1" applyBorder="1" applyAlignment="1">
      <alignment horizontal="center" vertical="center"/>
    </xf>
    <xf numFmtId="183" fontId="4" fillId="0" borderId="1" xfId="0" applyNumberFormat="1" applyFont="1" applyBorder="1" applyAlignment="1">
      <alignment horizontal="center" vertical="center"/>
    </xf>
    <xf numFmtId="0" fontId="4" fillId="12" borderId="10" xfId="199" applyFont="1" applyFill="1" applyBorder="1" applyAlignment="1">
      <alignment horizontal="center" vertical="center"/>
    </xf>
    <xf numFmtId="0" fontId="4" fillId="12" borderId="12" xfId="199" applyFont="1" applyFill="1" applyBorder="1" applyAlignment="1">
      <alignment horizontal="center" vertical="center"/>
    </xf>
    <xf numFmtId="183" fontId="4" fillId="12" borderId="1" xfId="0" applyNumberFormat="1" applyFont="1" applyFill="1" applyBorder="1" applyAlignment="1">
      <alignment horizontal="center" vertical="center"/>
    </xf>
    <xf numFmtId="183" fontId="17" fillId="11" borderId="11" xfId="199" applyNumberFormat="1" applyFont="1" applyFill="1" applyBorder="1" applyAlignment="1">
      <alignment horizontal="center" vertical="center" wrapText="1"/>
    </xf>
    <xf numFmtId="1" fontId="10" fillId="10" borderId="1" xfId="267" applyNumberFormat="1" applyFont="1" applyFill="1" applyBorder="1" applyAlignment="1">
      <alignment horizontal="center" vertical="center"/>
    </xf>
    <xf numFmtId="1" fontId="10" fillId="0" borderId="1" xfId="268" applyNumberFormat="1" applyFont="1" applyBorder="1" applyAlignment="1">
      <alignment horizontal="center" vertical="center"/>
    </xf>
    <xf numFmtId="183" fontId="10" fillId="2" borderId="1" xfId="267" applyNumberFormat="1" applyFont="1" applyFill="1" applyBorder="1" applyAlignment="1">
      <alignment horizontal="center" vertical="center" wrapText="1"/>
    </xf>
    <xf numFmtId="183" fontId="10" fillId="10" borderId="1" xfId="267" applyNumberFormat="1" applyFont="1" applyFill="1" applyBorder="1" applyAlignment="1">
      <alignment horizontal="center" vertical="center" wrapText="1"/>
    </xf>
    <xf numFmtId="183" fontId="10" fillId="2" borderId="1" xfId="268" applyNumberFormat="1" applyFont="1" applyFill="1" applyBorder="1" applyAlignment="1">
      <alignment horizontal="center" vertical="center" wrapText="1"/>
    </xf>
    <xf numFmtId="183" fontId="10" fillId="0" borderId="1" xfId="268" applyNumberFormat="1" applyFont="1" applyBorder="1" applyAlignment="1">
      <alignment horizontal="center" vertical="center" wrapText="1"/>
    </xf>
    <xf numFmtId="183" fontId="10" fillId="0" borderId="1" xfId="268" applyNumberFormat="1" applyFont="1" applyFill="1" applyBorder="1" applyAlignment="1">
      <alignment horizontal="center" vertical="center" wrapText="1"/>
    </xf>
    <xf numFmtId="0" fontId="19" fillId="0" borderId="1" xfId="268" applyFont="1" applyFill="1" applyBorder="1" applyAlignment="1">
      <alignment horizontal="center" vertical="center" wrapText="1"/>
    </xf>
    <xf numFmtId="183" fontId="10" fillId="10" borderId="1" xfId="267" applyNumberFormat="1" applyFont="1" applyFill="1" applyBorder="1" applyAlignment="1">
      <alignment horizontal="center" vertical="center"/>
    </xf>
    <xf numFmtId="183" fontId="10" fillId="14" borderId="1" xfId="268" applyNumberFormat="1" applyFont="1" applyFill="1" applyBorder="1" applyAlignment="1">
      <alignment horizontal="center" vertical="center"/>
    </xf>
    <xf numFmtId="183" fontId="20" fillId="14" borderId="1" xfId="268" applyNumberFormat="1" applyFont="1" applyFill="1" applyBorder="1" applyAlignment="1">
      <alignment horizontal="center" vertical="center"/>
    </xf>
    <xf numFmtId="183" fontId="4" fillId="10" borderId="1" xfId="0" applyNumberFormat="1" applyFont="1" applyFill="1" applyBorder="1" applyAlignment="1">
      <alignment horizontal="center" vertical="center"/>
    </xf>
    <xf numFmtId="183" fontId="4" fillId="2" borderId="1" xfId="0" applyNumberFormat="1" applyFont="1" applyFill="1" applyBorder="1" applyAlignment="1">
      <alignment horizontal="center" vertical="center"/>
    </xf>
    <xf numFmtId="183" fontId="20" fillId="2" borderId="1" xfId="0" applyNumberFormat="1" applyFont="1" applyFill="1" applyBorder="1" applyAlignment="1">
      <alignment horizontal="center" vertical="center"/>
    </xf>
    <xf numFmtId="187" fontId="4" fillId="2" borderId="10" xfId="0" applyNumberFormat="1" applyFont="1" applyFill="1" applyBorder="1" applyAlignment="1">
      <alignment horizontal="center" vertical="center"/>
    </xf>
    <xf numFmtId="187" fontId="20" fillId="2" borderId="10" xfId="0" applyNumberFormat="1" applyFont="1" applyFill="1" applyBorder="1" applyAlignment="1">
      <alignment horizontal="center" vertical="center"/>
    </xf>
    <xf numFmtId="183" fontId="20" fillId="12" borderId="1" xfId="0" applyNumberFormat="1" applyFont="1" applyFill="1" applyBorder="1" applyAlignment="1">
      <alignment horizontal="center" vertical="center"/>
    </xf>
    <xf numFmtId="187" fontId="4" fillId="12" borderId="10" xfId="0" applyNumberFormat="1" applyFont="1" applyFill="1" applyBorder="1" applyAlignment="1">
      <alignment horizontal="center" vertical="center"/>
    </xf>
    <xf numFmtId="183" fontId="20" fillId="0" borderId="1" xfId="0" applyNumberFormat="1" applyFont="1" applyBorder="1" applyAlignment="1">
      <alignment horizontal="center" vertical="center"/>
    </xf>
    <xf numFmtId="183" fontId="17" fillId="11" borderId="12" xfId="199" applyNumberFormat="1" applyFont="1" applyFill="1" applyBorder="1" applyAlignment="1">
      <alignment horizontal="center" vertical="center" wrapText="1"/>
    </xf>
    <xf numFmtId="183" fontId="17" fillId="8" borderId="10" xfId="199" applyNumberFormat="1" applyFont="1" applyFill="1" applyBorder="1" applyAlignment="1">
      <alignment horizontal="center" vertical="center" wrapText="1"/>
    </xf>
    <xf numFmtId="183" fontId="17" fillId="8" borderId="11" xfId="199" applyNumberFormat="1" applyFont="1" applyFill="1" applyBorder="1" applyAlignment="1">
      <alignment horizontal="center" vertical="center" wrapText="1"/>
    </xf>
    <xf numFmtId="1" fontId="10" fillId="5" borderId="1" xfId="267" applyNumberFormat="1" applyFont="1" applyFill="1" applyBorder="1" applyAlignment="1">
      <alignment horizontal="center" vertical="center"/>
    </xf>
    <xf numFmtId="1" fontId="10" fillId="14" borderId="1" xfId="267" applyNumberFormat="1" applyFont="1" applyFill="1" applyBorder="1" applyAlignment="1">
      <alignment horizontal="center" vertical="center"/>
    </xf>
    <xf numFmtId="183" fontId="10" fillId="5" borderId="1" xfId="267" applyNumberFormat="1" applyFont="1" applyFill="1" applyBorder="1" applyAlignment="1">
      <alignment horizontal="center" vertical="center" wrapText="1"/>
    </xf>
    <xf numFmtId="183" fontId="10" fillId="14" borderId="1" xfId="267" applyNumberFormat="1" applyFont="1" applyFill="1" applyBorder="1" applyAlignment="1">
      <alignment horizontal="center" vertical="center" wrapText="1"/>
    </xf>
    <xf numFmtId="0" fontId="19" fillId="2" borderId="1" xfId="268" applyFont="1" applyFill="1" applyBorder="1" applyAlignment="1">
      <alignment horizontal="center" vertical="center" wrapText="1"/>
    </xf>
    <xf numFmtId="183" fontId="20" fillId="10" borderId="1" xfId="0" applyNumberFormat="1" applyFont="1" applyFill="1" applyBorder="1" applyAlignment="1">
      <alignment horizontal="center" vertical="center"/>
    </xf>
    <xf numFmtId="183" fontId="4" fillId="5" borderId="1" xfId="0" applyNumberFormat="1" applyFont="1" applyFill="1" applyBorder="1" applyAlignment="1">
      <alignment horizontal="center" vertical="center"/>
    </xf>
    <xf numFmtId="187" fontId="10" fillId="14" borderId="1" xfId="0" applyNumberFormat="1" applyFont="1" applyFill="1" applyBorder="1" applyAlignment="1">
      <alignment horizontal="center" vertical="center"/>
    </xf>
    <xf numFmtId="187" fontId="20" fillId="12" borderId="10" xfId="0" applyNumberFormat="1" applyFont="1" applyFill="1" applyBorder="1" applyAlignment="1">
      <alignment horizontal="center" vertical="center"/>
    </xf>
    <xf numFmtId="183" fontId="10" fillId="5" borderId="1" xfId="0" applyNumberFormat="1" applyFont="1" applyFill="1" applyBorder="1" applyAlignment="1">
      <alignment horizontal="center" vertical="center"/>
    </xf>
    <xf numFmtId="183" fontId="4" fillId="14" borderId="1" xfId="0" applyNumberFormat="1" applyFont="1" applyFill="1" applyBorder="1" applyAlignment="1">
      <alignment horizontal="center" vertical="center"/>
    </xf>
    <xf numFmtId="183" fontId="17" fillId="8" borderId="12" xfId="199" applyNumberFormat="1" applyFont="1" applyFill="1" applyBorder="1" applyAlignment="1">
      <alignment horizontal="center" vertical="center" wrapText="1"/>
    </xf>
    <xf numFmtId="183" fontId="18" fillId="16" borderId="10" xfId="199" applyNumberFormat="1" applyFont="1" applyFill="1" applyBorder="1" applyAlignment="1">
      <alignment horizontal="center" vertical="center" wrapText="1"/>
    </xf>
    <xf numFmtId="183" fontId="18" fillId="16" borderId="11" xfId="199" applyNumberFormat="1" applyFont="1" applyFill="1" applyBorder="1" applyAlignment="1">
      <alignment horizontal="center" vertical="center" wrapText="1"/>
    </xf>
    <xf numFmtId="1" fontId="10" fillId="2" borderId="1" xfId="267" applyNumberFormat="1" applyFont="1" applyFill="1" applyBorder="1" applyAlignment="1">
      <alignment horizontal="center" vertical="center"/>
    </xf>
    <xf numFmtId="1" fontId="10" fillId="2" borderId="1" xfId="268" applyNumberFormat="1" applyFont="1" applyFill="1" applyBorder="1" applyAlignment="1">
      <alignment horizontal="center" vertical="center"/>
    </xf>
    <xf numFmtId="0" fontId="19" fillId="0" borderId="1" xfId="267" applyFont="1" applyFill="1" applyBorder="1" applyAlignment="1">
      <alignment horizontal="center" vertical="center" wrapText="1"/>
    </xf>
    <xf numFmtId="187" fontId="21" fillId="2" borderId="1" xfId="0" applyNumberFormat="1" applyFont="1" applyFill="1" applyBorder="1" applyAlignment="1">
      <alignment horizontal="center" vertical="center"/>
    </xf>
    <xf numFmtId="187" fontId="21" fillId="12" borderId="1" xfId="0" applyNumberFormat="1" applyFont="1" applyFill="1" applyBorder="1" applyAlignment="1">
      <alignment horizontal="center" vertical="center"/>
    </xf>
    <xf numFmtId="183" fontId="18" fillId="16" borderId="12" xfId="199" applyNumberFormat="1" applyFont="1" applyFill="1" applyBorder="1" applyAlignment="1">
      <alignment horizontal="center" vertical="center" wrapText="1"/>
    </xf>
    <xf numFmtId="183" fontId="18" fillId="9" borderId="10" xfId="199" applyNumberFormat="1" applyFont="1" applyFill="1" applyBorder="1" applyAlignment="1">
      <alignment horizontal="center" vertical="center" wrapText="1"/>
    </xf>
    <xf numFmtId="183" fontId="18" fillId="9" borderId="11" xfId="199" applyNumberFormat="1" applyFont="1" applyFill="1" applyBorder="1" applyAlignment="1">
      <alignment horizontal="center" vertical="center" wrapText="1"/>
    </xf>
    <xf numFmtId="1" fontId="10" fillId="0" borderId="1" xfId="267" applyNumberFormat="1" applyFont="1" applyFill="1" applyBorder="1" applyAlignment="1">
      <alignment horizontal="center" vertical="center" wrapText="1"/>
    </xf>
    <xf numFmtId="1" fontId="10" fillId="2" borderId="1" xfId="267" applyNumberFormat="1" applyFont="1" applyFill="1" applyBorder="1" applyAlignment="1">
      <alignment horizontal="center" vertical="center" wrapText="1"/>
    </xf>
    <xf numFmtId="183" fontId="4" fillId="0" borderId="1" xfId="199" applyNumberFormat="1" applyFont="1" applyFill="1" applyBorder="1" applyAlignment="1">
      <alignment horizontal="center" vertical="center" wrapText="1"/>
    </xf>
    <xf numFmtId="183" fontId="16" fillId="0" borderId="1" xfId="267" applyNumberFormat="1" applyFont="1" applyFill="1" applyBorder="1" applyAlignment="1">
      <alignment horizontal="center" vertical="center" wrapText="1"/>
    </xf>
    <xf numFmtId="183" fontId="16" fillId="0" borderId="1" xfId="267" applyNumberFormat="1" applyFont="1" applyBorder="1" applyAlignment="1">
      <alignment horizontal="center" vertical="center" wrapText="1"/>
    </xf>
    <xf numFmtId="183" fontId="18" fillId="9" borderId="12" xfId="199" applyNumberFormat="1" applyFont="1" applyFill="1" applyBorder="1" applyAlignment="1">
      <alignment horizontal="center" vertical="center" wrapText="1"/>
    </xf>
    <xf numFmtId="183" fontId="18" fillId="17" borderId="10" xfId="199" applyNumberFormat="1" applyFont="1" applyFill="1" applyBorder="1" applyAlignment="1">
      <alignment horizontal="center" vertical="center" wrapText="1"/>
    </xf>
    <xf numFmtId="183" fontId="18" fillId="17" borderId="11" xfId="199" applyNumberFormat="1" applyFont="1" applyFill="1" applyBorder="1" applyAlignment="1">
      <alignment horizontal="center" vertical="center" wrapText="1"/>
    </xf>
    <xf numFmtId="1" fontId="20" fillId="0" borderId="1" xfId="267" applyNumberFormat="1" applyFont="1" applyFill="1" applyBorder="1" applyAlignment="1">
      <alignment horizontal="center" vertical="center"/>
    </xf>
    <xf numFmtId="183" fontId="20" fillId="0" borderId="1" xfId="267" applyNumberFormat="1" applyFont="1" applyFill="1" applyBorder="1" applyAlignment="1">
      <alignment horizontal="center" vertical="center" wrapText="1"/>
    </xf>
    <xf numFmtId="183" fontId="4" fillId="2" borderId="1" xfId="199" applyNumberFormat="1" applyFont="1" applyFill="1" applyBorder="1" applyAlignment="1">
      <alignment horizontal="center" vertical="center" wrapText="1"/>
    </xf>
    <xf numFmtId="183" fontId="20" fillId="0" borderId="1" xfId="199" applyNumberFormat="1" applyFont="1" applyFill="1" applyBorder="1" applyAlignment="1">
      <alignment horizontal="center" vertical="center" wrapText="1"/>
    </xf>
    <xf numFmtId="183" fontId="16" fillId="2" borderId="1" xfId="267" applyNumberFormat="1" applyFont="1" applyFill="1" applyBorder="1" applyAlignment="1">
      <alignment horizontal="center" vertical="center" wrapText="1"/>
    </xf>
    <xf numFmtId="183" fontId="20" fillId="14" borderId="1" xfId="267" applyNumberFormat="1" applyFont="1" applyFill="1" applyBorder="1" applyAlignment="1">
      <alignment horizontal="center" vertical="center"/>
    </xf>
    <xf numFmtId="183" fontId="18" fillId="17" borderId="12" xfId="199" applyNumberFormat="1" applyFont="1" applyFill="1" applyBorder="1" applyAlignment="1">
      <alignment horizontal="center" vertical="center" wrapText="1"/>
    </xf>
    <xf numFmtId="183" fontId="18" fillId="18" borderId="10" xfId="199" applyNumberFormat="1" applyFont="1" applyFill="1" applyBorder="1" applyAlignment="1">
      <alignment horizontal="center" vertical="center" wrapText="1"/>
    </xf>
    <xf numFmtId="183" fontId="18" fillId="18" borderId="11" xfId="199" applyNumberFormat="1" applyFont="1" applyFill="1" applyBorder="1" applyAlignment="1">
      <alignment horizontal="center" vertical="center" wrapText="1"/>
    </xf>
    <xf numFmtId="183" fontId="18" fillId="18" borderId="12" xfId="199" applyNumberFormat="1" applyFont="1" applyFill="1" applyBorder="1" applyAlignment="1">
      <alignment horizontal="center" vertical="center" wrapText="1"/>
    </xf>
    <xf numFmtId="183" fontId="22" fillId="13" borderId="10" xfId="199" applyNumberFormat="1" applyFont="1" applyFill="1" applyBorder="1" applyAlignment="1">
      <alignment horizontal="center" vertical="center" wrapText="1"/>
    </xf>
    <xf numFmtId="183" fontId="22" fillId="13" borderId="11" xfId="199" applyNumberFormat="1" applyFont="1" applyFill="1" applyBorder="1" applyAlignment="1">
      <alignment horizontal="center" vertical="center" wrapText="1"/>
    </xf>
    <xf numFmtId="1" fontId="20" fillId="2" borderId="1" xfId="267" applyNumberFormat="1" applyFont="1" applyFill="1" applyBorder="1" applyAlignment="1">
      <alignment horizontal="center" vertical="center"/>
    </xf>
    <xf numFmtId="1" fontId="10" fillId="0" borderId="1" xfId="267" applyNumberFormat="1" applyFont="1" applyBorder="1" applyAlignment="1">
      <alignment horizontal="center" vertical="center" wrapText="1"/>
    </xf>
    <xf numFmtId="183" fontId="20" fillId="2" borderId="1" xfId="267" applyNumberFormat="1" applyFont="1" applyFill="1" applyBorder="1" applyAlignment="1">
      <alignment horizontal="center" vertical="center" wrapText="1"/>
    </xf>
    <xf numFmtId="0" fontId="19" fillId="2" borderId="1" xfId="267" applyFont="1" applyFill="1" applyBorder="1" applyAlignment="1">
      <alignment horizontal="center" vertical="center" wrapText="1"/>
    </xf>
    <xf numFmtId="183" fontId="10" fillId="2" borderId="1" xfId="267" applyNumberFormat="1" applyFont="1" applyFill="1" applyBorder="1" applyAlignment="1">
      <alignment horizontal="center" vertical="center"/>
    </xf>
    <xf numFmtId="183" fontId="20" fillId="2" borderId="1" xfId="267" applyNumberFormat="1" applyFont="1" applyFill="1" applyBorder="1" applyAlignment="1">
      <alignment horizontal="center" vertical="center"/>
    </xf>
    <xf numFmtId="187" fontId="10" fillId="2" borderId="1" xfId="0" applyNumberFormat="1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187" fontId="4" fillId="2" borderId="1" xfId="0" applyNumberFormat="1" applyFont="1" applyFill="1" applyBorder="1" applyAlignment="1">
      <alignment horizontal="center" vertical="center"/>
    </xf>
    <xf numFmtId="0" fontId="4" fillId="2" borderId="0" xfId="199" applyFont="1" applyFill="1" applyAlignment="1">
      <alignment horizontal="center"/>
    </xf>
    <xf numFmtId="183" fontId="22" fillId="13" borderId="12" xfId="199" applyNumberFormat="1" applyFont="1" applyFill="1" applyBorder="1" applyAlignment="1">
      <alignment horizontal="center" vertical="center" wrapText="1"/>
    </xf>
    <xf numFmtId="183" fontId="22" fillId="2" borderId="12" xfId="199" applyNumberFormat="1" applyFont="1" applyFill="1" applyBorder="1" applyAlignment="1">
      <alignment horizontal="center" vertical="center" wrapText="1"/>
    </xf>
    <xf numFmtId="183" fontId="23" fillId="8" borderId="1" xfId="199" applyNumberFormat="1" applyFont="1" applyFill="1" applyBorder="1" applyAlignment="1">
      <alignment horizontal="center" vertical="center" wrapText="1"/>
    </xf>
    <xf numFmtId="187" fontId="4" fillId="2" borderId="1" xfId="187" applyNumberFormat="1" applyFont="1" applyFill="1" applyBorder="1" applyAlignment="1">
      <alignment horizontal="center" vertical="center"/>
    </xf>
    <xf numFmtId="187" fontId="4" fillId="2" borderId="1" xfId="200" applyNumberFormat="1" applyFont="1" applyFill="1" applyBorder="1" applyAlignment="1">
      <alignment horizontal="center" vertical="center"/>
    </xf>
    <xf numFmtId="0" fontId="3" fillId="19" borderId="15" xfId="0" applyFont="1" applyFill="1" applyBorder="1" applyAlignment="1">
      <alignment horizontal="center" vertical="center" wrapText="1"/>
    </xf>
    <xf numFmtId="0" fontId="3" fillId="19" borderId="16" xfId="0" applyFont="1" applyFill="1" applyBorder="1" applyAlignment="1">
      <alignment horizontal="center" vertical="center" wrapText="1"/>
    </xf>
    <xf numFmtId="0" fontId="3" fillId="19" borderId="17" xfId="0" applyFont="1" applyFill="1" applyBorder="1" applyAlignment="1">
      <alignment horizontal="center" vertical="center" wrapText="1"/>
    </xf>
    <xf numFmtId="0" fontId="3" fillId="19" borderId="1" xfId="0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/>
    </xf>
    <xf numFmtId="0" fontId="3" fillId="20" borderId="2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3" fillId="2" borderId="12" xfId="0" applyFont="1" applyFill="1" applyBorder="1" applyAlignment="1">
      <alignment horizontal="center" vertical="center"/>
    </xf>
    <xf numFmtId="0" fontId="3" fillId="2" borderId="18" xfId="0" applyFont="1" applyFill="1" applyBorder="1" applyAlignment="1">
      <alignment horizontal="center" vertical="center"/>
    </xf>
    <xf numFmtId="0" fontId="3" fillId="20" borderId="3" xfId="0" applyFont="1" applyFill="1" applyBorder="1" applyAlignment="1">
      <alignment horizontal="center" vertical="center" wrapText="1"/>
    </xf>
    <xf numFmtId="0" fontId="3" fillId="8" borderId="12" xfId="0" applyFont="1" applyFill="1" applyBorder="1" applyAlignment="1">
      <alignment horizontal="center" vertical="center" wrapText="1"/>
    </xf>
    <xf numFmtId="0" fontId="3" fillId="2" borderId="19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 wrapText="1"/>
    </xf>
    <xf numFmtId="0" fontId="3" fillId="2" borderId="0" xfId="0" applyFont="1" applyFill="1" applyBorder="1" applyAlignment="1">
      <alignment horizontal="center" vertical="center"/>
    </xf>
    <xf numFmtId="0" fontId="3" fillId="2" borderId="0" xfId="0" applyFont="1" applyFill="1" applyBorder="1" applyAlignment="1">
      <alignment horizontal="center" vertical="center" wrapText="1"/>
    </xf>
    <xf numFmtId="0" fontId="3" fillId="2" borderId="19" xfId="0" applyFont="1" applyFill="1" applyBorder="1" applyAlignment="1">
      <alignment horizontal="center" vertical="center" wrapText="1"/>
    </xf>
    <xf numFmtId="0" fontId="3" fillId="2" borderId="20" xfId="0" applyFont="1" applyFill="1" applyBorder="1" applyAlignment="1">
      <alignment horizontal="center" vertical="center" wrapText="1"/>
    </xf>
    <xf numFmtId="0" fontId="3" fillId="2" borderId="21" xfId="0" applyFont="1" applyFill="1" applyBorder="1" applyAlignment="1">
      <alignment horizontal="center" vertical="center" wrapText="1"/>
    </xf>
    <xf numFmtId="0" fontId="3" fillId="19" borderId="22" xfId="0" applyFont="1" applyFill="1" applyBorder="1" applyAlignment="1">
      <alignment horizontal="center" vertical="center" wrapText="1"/>
    </xf>
    <xf numFmtId="0" fontId="3" fillId="19" borderId="23" xfId="0" applyFont="1" applyFill="1" applyBorder="1" applyAlignment="1">
      <alignment horizontal="center" vertical="center" wrapText="1"/>
    </xf>
    <xf numFmtId="0" fontId="3" fillId="19" borderId="4" xfId="0" applyFont="1" applyFill="1" applyBorder="1" applyAlignment="1">
      <alignment horizontal="center" vertical="center" wrapText="1"/>
    </xf>
    <xf numFmtId="0" fontId="3" fillId="19" borderId="24" xfId="0" applyFont="1" applyFill="1" applyBorder="1" applyAlignment="1">
      <alignment horizontal="center" vertical="center"/>
    </xf>
    <xf numFmtId="49" fontId="3" fillId="2" borderId="12" xfId="0" applyNumberFormat="1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0" fontId="16" fillId="0" borderId="24" xfId="0" applyFont="1" applyFill="1" applyBorder="1" applyAlignment="1">
      <alignment horizontal="center" vertical="center" wrapText="1"/>
    </xf>
    <xf numFmtId="0" fontId="3" fillId="0" borderId="24" xfId="0" applyFont="1" applyFill="1" applyBorder="1" applyAlignment="1">
      <alignment horizontal="center" vertical="center" wrapText="1"/>
    </xf>
    <xf numFmtId="0" fontId="3" fillId="0" borderId="25" xfId="0" applyFont="1" applyFill="1" applyBorder="1" applyAlignment="1">
      <alignment horizontal="center" vertical="center" wrapText="1"/>
    </xf>
    <xf numFmtId="0" fontId="24" fillId="21" borderId="25" xfId="0" applyFont="1" applyFill="1" applyBorder="1" applyAlignment="1">
      <alignment horizontal="center"/>
    </xf>
    <xf numFmtId="0" fontId="3" fillId="2" borderId="25" xfId="0" applyFont="1" applyFill="1" applyBorder="1" applyAlignment="1">
      <alignment horizontal="center" vertical="center" wrapText="1"/>
    </xf>
    <xf numFmtId="0" fontId="3" fillId="2" borderId="26" xfId="0" applyFont="1" applyFill="1" applyBorder="1" applyAlignment="1">
      <alignment horizontal="center" vertical="center" wrapText="1"/>
    </xf>
    <xf numFmtId="0" fontId="16" fillId="19" borderId="15" xfId="0" applyFont="1" applyFill="1" applyBorder="1" applyAlignment="1">
      <alignment horizontal="center" vertical="center" wrapText="1"/>
    </xf>
    <xf numFmtId="0" fontId="16" fillId="19" borderId="16" xfId="0" applyFont="1" applyFill="1" applyBorder="1" applyAlignment="1">
      <alignment horizontal="center" vertical="center" wrapText="1"/>
    </xf>
    <xf numFmtId="0" fontId="16" fillId="19" borderId="17" xfId="0" applyFont="1" applyFill="1" applyBorder="1" applyAlignment="1">
      <alignment horizontal="center" vertical="center" wrapText="1"/>
    </xf>
    <xf numFmtId="0" fontId="16" fillId="19" borderId="1" xfId="0" applyFont="1" applyFill="1" applyBorder="1" applyAlignment="1">
      <alignment horizontal="center" vertical="center" wrapText="1"/>
    </xf>
    <xf numFmtId="0" fontId="25" fillId="2" borderId="17" xfId="0" applyFont="1" applyFill="1" applyBorder="1" applyAlignment="1">
      <alignment horizontal="center" vertical="center"/>
    </xf>
    <xf numFmtId="0" fontId="16" fillId="20" borderId="1" xfId="0" applyFont="1" applyFill="1" applyBorder="1" applyAlignment="1">
      <alignment horizontal="center" vertical="center" wrapText="1"/>
    </xf>
    <xf numFmtId="0" fontId="25" fillId="2" borderId="1" xfId="0" applyFont="1" applyFill="1" applyBorder="1" applyAlignment="1">
      <alignment horizontal="center" vertical="center"/>
    </xf>
    <xf numFmtId="0" fontId="25" fillId="2" borderId="1" xfId="0" applyFont="1" applyFill="1" applyBorder="1" applyAlignment="1">
      <alignment horizontal="center" vertical="center" wrapText="1"/>
    </xf>
    <xf numFmtId="0" fontId="16" fillId="22" borderId="2" xfId="0" applyFont="1" applyFill="1" applyBorder="1" applyAlignment="1">
      <alignment horizontal="center" vertical="center" wrapText="1"/>
    </xf>
    <xf numFmtId="0" fontId="25" fillId="0" borderId="17" xfId="0" applyFont="1" applyFill="1" applyBorder="1" applyAlignment="1">
      <alignment horizontal="center" vertical="center"/>
    </xf>
    <xf numFmtId="0" fontId="16" fillId="22" borderId="3" xfId="0" applyFont="1" applyFill="1" applyBorder="1" applyAlignment="1">
      <alignment horizontal="center" vertical="center" wrapText="1"/>
    </xf>
    <xf numFmtId="0" fontId="16" fillId="2" borderId="17" xfId="0" applyFont="1" applyFill="1" applyBorder="1" applyAlignment="1">
      <alignment horizontal="center" vertical="center"/>
    </xf>
    <xf numFmtId="0" fontId="16" fillId="22" borderId="4" xfId="0" applyFont="1" applyFill="1" applyBorder="1" applyAlignment="1">
      <alignment horizontal="center" vertical="center" wrapText="1"/>
    </xf>
    <xf numFmtId="0" fontId="16" fillId="2" borderId="1" xfId="0" applyFont="1" applyFill="1" applyBorder="1" applyAlignment="1">
      <alignment horizontal="center" vertical="center"/>
    </xf>
    <xf numFmtId="0" fontId="16" fillId="2" borderId="1" xfId="0" applyFont="1" applyFill="1" applyBorder="1" applyAlignment="1">
      <alignment horizontal="center" vertical="center" wrapText="1"/>
    </xf>
    <xf numFmtId="0" fontId="16" fillId="7" borderId="1" xfId="0" applyFont="1" applyFill="1" applyBorder="1" applyAlignment="1">
      <alignment horizontal="center" vertical="center" wrapText="1"/>
    </xf>
    <xf numFmtId="0" fontId="16" fillId="2" borderId="2" xfId="0" applyFont="1" applyFill="1" applyBorder="1" applyAlignment="1">
      <alignment horizontal="center" vertical="center" wrapText="1"/>
    </xf>
    <xf numFmtId="0" fontId="16" fillId="16" borderId="2" xfId="0" applyFont="1" applyFill="1" applyBorder="1" applyAlignment="1">
      <alignment horizontal="center" vertical="center" wrapText="1"/>
    </xf>
    <xf numFmtId="0" fontId="16" fillId="16" borderId="1" xfId="0" applyFont="1" applyFill="1" applyBorder="1" applyAlignment="1">
      <alignment horizontal="center" vertical="center" wrapText="1"/>
    </xf>
    <xf numFmtId="0" fontId="16" fillId="2" borderId="0" xfId="0" applyFont="1" applyFill="1" applyBorder="1" applyAlignment="1">
      <alignment horizontal="center" vertical="center" wrapText="1"/>
    </xf>
    <xf numFmtId="0" fontId="16" fillId="2" borderId="19" xfId="0" applyFont="1" applyFill="1" applyBorder="1" applyAlignment="1">
      <alignment horizontal="center" vertical="center" wrapText="1"/>
    </xf>
    <xf numFmtId="0" fontId="16" fillId="2" borderId="21" xfId="0" applyFont="1" applyFill="1" applyBorder="1" applyAlignment="1">
      <alignment horizontal="center" vertical="center" wrapText="1"/>
    </xf>
    <xf numFmtId="0" fontId="16" fillId="19" borderId="22" xfId="0" applyFont="1" applyFill="1" applyBorder="1" applyAlignment="1">
      <alignment horizontal="center" vertical="center" wrapText="1"/>
    </xf>
    <xf numFmtId="0" fontId="16" fillId="19" borderId="23" xfId="0" applyFont="1" applyFill="1" applyBorder="1" applyAlignment="1">
      <alignment horizontal="center" vertical="center" wrapText="1"/>
    </xf>
    <xf numFmtId="0" fontId="16" fillId="19" borderId="4" xfId="0" applyFont="1" applyFill="1" applyBorder="1" applyAlignment="1">
      <alignment horizontal="center" vertical="center" wrapText="1"/>
    </xf>
    <xf numFmtId="0" fontId="16" fillId="19" borderId="24" xfId="0" applyFont="1" applyFill="1" applyBorder="1" applyAlignment="1">
      <alignment horizontal="center" vertical="center"/>
    </xf>
    <xf numFmtId="0" fontId="25" fillId="0" borderId="2" xfId="0" applyFont="1" applyFill="1" applyBorder="1" applyAlignment="1">
      <alignment horizontal="center" vertical="center" wrapText="1"/>
    </xf>
    <xf numFmtId="0" fontId="25" fillId="0" borderId="24" xfId="0" applyFont="1" applyFill="1" applyBorder="1" applyAlignment="1">
      <alignment horizontal="center" vertical="center" wrapText="1"/>
    </xf>
    <xf numFmtId="0" fontId="25" fillId="0" borderId="3" xfId="0" applyFont="1" applyFill="1" applyBorder="1" applyAlignment="1">
      <alignment horizontal="center" vertical="center" wrapText="1"/>
    </xf>
    <xf numFmtId="0" fontId="25" fillId="0" borderId="4" xfId="0" applyFont="1" applyFill="1" applyBorder="1" applyAlignment="1">
      <alignment horizontal="center" vertical="center" wrapText="1"/>
    </xf>
    <xf numFmtId="49" fontId="25" fillId="2" borderId="1" xfId="0" applyNumberFormat="1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26" fillId="0" borderId="24" xfId="0" applyFont="1" applyFill="1" applyBorder="1" applyAlignment="1">
      <alignment horizontal="center" vertical="center" wrapText="1"/>
    </xf>
    <xf numFmtId="0" fontId="27" fillId="21" borderId="25" xfId="0" applyFont="1" applyFill="1" applyBorder="1" applyAlignment="1">
      <alignment horizontal="center"/>
    </xf>
    <xf numFmtId="0" fontId="16" fillId="2" borderId="25" xfId="0" applyFont="1" applyFill="1" applyBorder="1" applyAlignment="1">
      <alignment horizontal="center" vertical="center" wrapText="1"/>
    </xf>
    <xf numFmtId="0" fontId="16" fillId="2" borderId="26" xfId="0" applyFont="1" applyFill="1" applyBorder="1" applyAlignment="1">
      <alignment horizontal="center" vertical="center" wrapText="1"/>
    </xf>
    <xf numFmtId="0" fontId="25" fillId="20" borderId="2" xfId="0" applyFont="1" applyFill="1" applyBorder="1" applyAlignment="1">
      <alignment horizontal="center" vertical="center" wrapText="1"/>
    </xf>
    <xf numFmtId="0" fontId="25" fillId="20" borderId="3" xfId="0" applyFont="1" applyFill="1" applyBorder="1" applyAlignment="1">
      <alignment horizontal="center" vertical="center" wrapText="1"/>
    </xf>
    <xf numFmtId="0" fontId="25" fillId="0" borderId="27" xfId="0" applyFont="1" applyFill="1" applyBorder="1" applyAlignment="1">
      <alignment horizontal="center" vertical="center"/>
    </xf>
    <xf numFmtId="0" fontId="25" fillId="2" borderId="4" xfId="0" applyFont="1" applyFill="1" applyBorder="1" applyAlignment="1">
      <alignment horizontal="center" vertical="center"/>
    </xf>
    <xf numFmtId="0" fontId="25" fillId="2" borderId="27" xfId="0" applyFont="1" applyFill="1" applyBorder="1" applyAlignment="1">
      <alignment horizontal="center" vertical="center"/>
    </xf>
    <xf numFmtId="0" fontId="25" fillId="20" borderId="4" xfId="0" applyFont="1" applyFill="1" applyBorder="1" applyAlignment="1">
      <alignment horizontal="center" vertical="center" wrapText="1"/>
    </xf>
    <xf numFmtId="0" fontId="25" fillId="2" borderId="17" xfId="0" applyFont="1" applyFill="1" applyBorder="1" applyAlignment="1">
      <alignment horizontal="center" vertical="center" wrapText="1"/>
    </xf>
    <xf numFmtId="0" fontId="3" fillId="8" borderId="3" xfId="0" applyFont="1" applyFill="1" applyBorder="1" applyAlignment="1">
      <alignment horizontal="center" vertical="center" wrapText="1"/>
    </xf>
    <xf numFmtId="49" fontId="25" fillId="2" borderId="1" xfId="13" applyNumberFormat="1" applyFont="1" applyFill="1" applyBorder="1" applyAlignment="1">
      <alignment horizontal="center" vertical="center" wrapText="1"/>
    </xf>
    <xf numFmtId="0" fontId="3" fillId="2" borderId="17" xfId="0" applyFont="1" applyFill="1" applyBorder="1" applyAlignment="1">
      <alignment horizontal="center" vertical="center" wrapText="1"/>
    </xf>
    <xf numFmtId="0" fontId="3" fillId="8" borderId="4" xfId="0" applyFont="1" applyFill="1" applyBorder="1" applyAlignment="1">
      <alignment horizontal="center" vertical="center" wrapText="1"/>
    </xf>
    <xf numFmtId="0" fontId="3" fillId="23" borderId="1" xfId="0" applyFont="1" applyFill="1" applyBorder="1" applyAlignment="1">
      <alignment horizontal="center" vertical="center" wrapText="1"/>
    </xf>
    <xf numFmtId="0" fontId="3" fillId="24" borderId="1" xfId="0" applyFont="1" applyFill="1" applyBorder="1" applyAlignment="1">
      <alignment horizontal="center" vertical="center" wrapText="1"/>
    </xf>
    <xf numFmtId="0" fontId="3" fillId="25" borderId="1" xfId="0" applyFont="1" applyFill="1" applyBorder="1" applyAlignment="1">
      <alignment horizontal="center" vertical="center" wrapText="1"/>
    </xf>
    <xf numFmtId="177" fontId="3" fillId="2" borderId="1" xfId="13" applyNumberFormat="1" applyFont="1" applyFill="1" applyBorder="1" applyAlignment="1">
      <alignment horizontal="center" vertical="center" wrapText="1"/>
    </xf>
    <xf numFmtId="0" fontId="3" fillId="4" borderId="2" xfId="0" applyFont="1" applyFill="1" applyBorder="1" applyAlignment="1">
      <alignment horizontal="center" vertical="center" wrapText="1"/>
    </xf>
    <xf numFmtId="49" fontId="3" fillId="2" borderId="1" xfId="13" applyNumberFormat="1" applyFont="1" applyFill="1" applyBorder="1" applyAlignment="1">
      <alignment horizontal="center" vertical="center" wrapText="1"/>
    </xf>
    <xf numFmtId="0" fontId="16" fillId="2" borderId="17" xfId="0" applyFont="1" applyFill="1" applyBorder="1" applyAlignment="1">
      <alignment horizontal="center" vertical="center" wrapText="1"/>
    </xf>
    <xf numFmtId="0" fontId="3" fillId="4" borderId="3" xfId="0" applyFont="1" applyFill="1" applyBorder="1" applyAlignment="1">
      <alignment horizontal="center" vertical="center" wrapText="1"/>
    </xf>
    <xf numFmtId="49" fontId="16" fillId="2" borderId="1" xfId="13" applyNumberFormat="1" applyFont="1" applyFill="1" applyBorder="1" applyAlignment="1">
      <alignment horizontal="center" vertical="center" wrapText="1"/>
    </xf>
    <xf numFmtId="0" fontId="16" fillId="15" borderId="2" xfId="0" applyFont="1" applyFill="1" applyBorder="1" applyAlignment="1">
      <alignment horizontal="center" vertical="center" wrapText="1"/>
    </xf>
    <xf numFmtId="0" fontId="16" fillId="15" borderId="4" xfId="0" applyFont="1" applyFill="1" applyBorder="1" applyAlignment="1">
      <alignment horizontal="center" vertical="center" wrapText="1"/>
    </xf>
    <xf numFmtId="0" fontId="3" fillId="26" borderId="1" xfId="0" applyFont="1" applyFill="1" applyBorder="1" applyAlignment="1">
      <alignment horizontal="center" vertical="center" wrapText="1"/>
    </xf>
    <xf numFmtId="0" fontId="16" fillId="27" borderId="1" xfId="0" applyFont="1" applyFill="1" applyBorder="1" applyAlignment="1">
      <alignment horizontal="center" vertical="center" wrapText="1"/>
    </xf>
    <xf numFmtId="0" fontId="25" fillId="2" borderId="2" xfId="0" applyFont="1" applyFill="1" applyBorder="1" applyAlignment="1">
      <alignment horizontal="center" vertical="center" wrapText="1"/>
    </xf>
    <xf numFmtId="0" fontId="25" fillId="2" borderId="24" xfId="0" applyFont="1" applyFill="1" applyBorder="1" applyAlignment="1">
      <alignment horizontal="center" vertical="center" wrapText="1"/>
    </xf>
    <xf numFmtId="0" fontId="25" fillId="2" borderId="3" xfId="0" applyFont="1" applyFill="1" applyBorder="1" applyAlignment="1">
      <alignment horizontal="center" vertical="center" wrapText="1"/>
    </xf>
    <xf numFmtId="0" fontId="25" fillId="2" borderId="4" xfId="0" applyFont="1" applyFill="1" applyBorder="1" applyAlignment="1">
      <alignment horizontal="center" vertical="center" wrapText="1"/>
    </xf>
    <xf numFmtId="0" fontId="25" fillId="2" borderId="3" xfId="0" applyFont="1" applyFill="1" applyBorder="1" applyAlignment="1">
      <alignment horizontal="center" vertical="center"/>
    </xf>
    <xf numFmtId="0" fontId="3" fillId="2" borderId="24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readingOrder="1"/>
    </xf>
    <xf numFmtId="0" fontId="16" fillId="0" borderId="1" xfId="0" applyFont="1" applyBorder="1" applyAlignment="1">
      <alignment horizontal="center" vertical="center" readingOrder="1"/>
    </xf>
    <xf numFmtId="0" fontId="16" fillId="2" borderId="24" xfId="0" applyFont="1" applyFill="1" applyBorder="1" applyAlignment="1">
      <alignment horizontal="center" vertical="center" wrapText="1"/>
    </xf>
    <xf numFmtId="0" fontId="25" fillId="0" borderId="1" xfId="0" applyFont="1" applyBorder="1" applyAlignment="1">
      <alignment horizontal="center" vertical="center" readingOrder="1"/>
    </xf>
    <xf numFmtId="0" fontId="28" fillId="2" borderId="1" xfId="0" applyFont="1" applyFill="1" applyBorder="1" applyAlignment="1">
      <alignment horizontal="center" vertical="center" wrapText="1"/>
    </xf>
    <xf numFmtId="0" fontId="24" fillId="21" borderId="25" xfId="0" applyFont="1" applyFill="1" applyBorder="1" applyAlignment="1">
      <alignment horizontal="right"/>
    </xf>
    <xf numFmtId="0" fontId="29" fillId="0" borderId="0" xfId="186">
      <alignment vertical="center"/>
    </xf>
    <xf numFmtId="0" fontId="29" fillId="0" borderId="1" xfId="186" applyBorder="1">
      <alignment vertical="center"/>
    </xf>
    <xf numFmtId="0" fontId="29" fillId="0" borderId="1" xfId="186" applyBorder="1" applyAlignment="1">
      <alignment horizontal="center" vertical="center"/>
    </xf>
    <xf numFmtId="0" fontId="29" fillId="0" borderId="0" xfId="186" applyAlignment="1">
      <alignment horizontal="center" vertical="center"/>
    </xf>
    <xf numFmtId="0" fontId="29" fillId="0" borderId="0" xfId="0" applyFont="1">
      <alignment vertical="center"/>
    </xf>
    <xf numFmtId="0" fontId="0" fillId="17" borderId="1" xfId="0" applyFill="1" applyBorder="1" applyAlignment="1">
      <alignment horizontal="center" vertical="center"/>
    </xf>
    <xf numFmtId="0" fontId="30" fillId="2" borderId="10" xfId="0" applyFont="1" applyFill="1" applyBorder="1" applyAlignment="1">
      <alignment horizontal="center" vertical="center"/>
    </xf>
    <xf numFmtId="0" fontId="30" fillId="7" borderId="10" xfId="0" applyFont="1" applyFill="1" applyBorder="1" applyAlignment="1">
      <alignment horizontal="center" vertical="center"/>
    </xf>
    <xf numFmtId="0" fontId="0" fillId="0" borderId="10" xfId="0" applyBorder="1" applyAlignment="1">
      <alignment vertical="center"/>
    </xf>
    <xf numFmtId="0" fontId="0" fillId="0" borderId="11" xfId="0" applyBorder="1" applyAlignment="1">
      <alignment vertical="center"/>
    </xf>
    <xf numFmtId="0" fontId="31" fillId="7" borderId="10" xfId="0" applyFont="1" applyFill="1" applyBorder="1" applyAlignment="1">
      <alignment horizontal="center" vertical="center"/>
    </xf>
    <xf numFmtId="0" fontId="30" fillId="7" borderId="10" xfId="0" applyFont="1" applyFill="1" applyBorder="1" applyAlignment="1">
      <alignment horizontal="center" vertical="center" wrapText="1"/>
    </xf>
    <xf numFmtId="0" fontId="29" fillId="0" borderId="0" xfId="186" applyFont="1">
      <alignment vertical="center"/>
    </xf>
    <xf numFmtId="0" fontId="29" fillId="0" borderId="0" xfId="186" applyFont="1" applyAlignment="1">
      <alignment vertical="center"/>
    </xf>
    <xf numFmtId="0" fontId="13" fillId="19" borderId="15" xfId="0" applyFont="1" applyFill="1" applyBorder="1" applyAlignment="1">
      <alignment horizontal="center" vertical="center" wrapText="1" readingOrder="1"/>
    </xf>
    <xf numFmtId="0" fontId="13" fillId="19" borderId="16" xfId="0" applyFont="1" applyFill="1" applyBorder="1" applyAlignment="1">
      <alignment horizontal="center" vertical="center" wrapText="1" readingOrder="1"/>
    </xf>
    <xf numFmtId="0" fontId="13" fillId="19" borderId="16" xfId="0" applyFont="1" applyFill="1" applyBorder="1" applyAlignment="1">
      <alignment horizontal="center" vertical="center" readingOrder="1"/>
    </xf>
    <xf numFmtId="0" fontId="13" fillId="19" borderId="17" xfId="0" applyFont="1" applyFill="1" applyBorder="1" applyAlignment="1">
      <alignment horizontal="center" vertical="center" readingOrder="1"/>
    </xf>
    <xf numFmtId="0" fontId="13" fillId="19" borderId="1" xfId="0" applyFont="1" applyFill="1" applyBorder="1" applyAlignment="1">
      <alignment horizontal="center" vertical="center" readingOrder="1"/>
    </xf>
    <xf numFmtId="0" fontId="13" fillId="19" borderId="1" xfId="0" applyFont="1" applyFill="1" applyBorder="1" applyAlignment="1">
      <alignment horizontal="center" vertical="center"/>
    </xf>
    <xf numFmtId="0" fontId="11" fillId="2" borderId="17" xfId="0" applyFont="1" applyFill="1" applyBorder="1" applyAlignment="1">
      <alignment horizontal="center" vertical="center" readingOrder="1"/>
    </xf>
    <xf numFmtId="0" fontId="11" fillId="2" borderId="1" xfId="0" applyFont="1" applyFill="1" applyBorder="1" applyAlignment="1">
      <alignment horizontal="center" vertical="center" readingOrder="1"/>
    </xf>
    <xf numFmtId="0" fontId="11" fillId="2" borderId="19" xfId="0" applyFont="1" applyFill="1" applyBorder="1" applyAlignment="1">
      <alignment horizontal="center" vertical="center" readingOrder="1"/>
    </xf>
    <xf numFmtId="0" fontId="11" fillId="2" borderId="0" xfId="0" applyFont="1" applyFill="1" applyBorder="1" applyAlignment="1">
      <alignment horizontal="center" vertical="center" readingOrder="1"/>
    </xf>
    <xf numFmtId="0" fontId="32" fillId="2" borderId="28" xfId="0" applyFont="1" applyFill="1" applyBorder="1" applyAlignment="1">
      <alignment horizontal="center" vertical="center" wrapText="1" readingOrder="1"/>
    </xf>
    <xf numFmtId="0" fontId="32" fillId="2" borderId="29" xfId="0" applyFont="1" applyFill="1" applyBorder="1" applyAlignment="1">
      <alignment horizontal="center" vertical="center" wrapText="1" readingOrder="1"/>
    </xf>
    <xf numFmtId="0" fontId="11" fillId="2" borderId="30" xfId="0" applyFont="1" applyFill="1" applyBorder="1" applyAlignment="1">
      <alignment horizontal="center" vertical="center" wrapText="1" readingOrder="1"/>
    </xf>
    <xf numFmtId="0" fontId="11" fillId="2" borderId="4" xfId="0" applyFont="1" applyFill="1" applyBorder="1" applyAlignment="1">
      <alignment horizontal="center" vertical="center" wrapText="1" readingOrder="1"/>
    </xf>
    <xf numFmtId="0" fontId="11" fillId="2" borderId="31" xfId="0" applyFont="1" applyFill="1" applyBorder="1" applyAlignment="1">
      <alignment horizontal="center" vertical="center" wrapText="1" readingOrder="1"/>
    </xf>
    <xf numFmtId="0" fontId="11" fillId="2" borderId="1" xfId="0" applyFont="1" applyFill="1" applyBorder="1" applyAlignment="1">
      <alignment horizontal="center" vertical="center" wrapText="1" readingOrder="1"/>
    </xf>
    <xf numFmtId="0" fontId="11" fillId="2" borderId="32" xfId="0" applyFont="1" applyFill="1" applyBorder="1" applyAlignment="1">
      <alignment horizontal="center" vertical="center" wrapText="1" readingOrder="1"/>
    </xf>
    <xf numFmtId="0" fontId="11" fillId="2" borderId="33" xfId="0" applyFont="1" applyFill="1" applyBorder="1" applyAlignment="1">
      <alignment horizontal="center" vertical="center" wrapText="1" readingOrder="1"/>
    </xf>
    <xf numFmtId="0" fontId="11" fillId="2" borderId="34" xfId="0" applyFont="1" applyFill="1" applyBorder="1" applyAlignment="1">
      <alignment horizontal="center" vertical="center" wrapText="1" readingOrder="1"/>
    </xf>
    <xf numFmtId="0" fontId="11" fillId="2" borderId="35" xfId="0" applyFont="1" applyFill="1" applyBorder="1" applyAlignment="1">
      <alignment horizontal="center" vertical="center" wrapText="1" readingOrder="1"/>
    </xf>
    <xf numFmtId="0" fontId="11" fillId="2" borderId="12" xfId="0" applyFont="1" applyFill="1" applyBorder="1" applyAlignment="1">
      <alignment horizontal="center" vertical="center" wrapText="1" readingOrder="1"/>
    </xf>
    <xf numFmtId="0" fontId="11" fillId="2" borderId="36" xfId="0" applyFont="1" applyFill="1" applyBorder="1" applyAlignment="1">
      <alignment horizontal="center" vertical="center" wrapText="1" readingOrder="1"/>
    </xf>
    <xf numFmtId="0" fontId="11" fillId="2" borderId="0" xfId="0" applyFont="1" applyFill="1" applyBorder="1" applyAlignment="1">
      <alignment horizontal="center" vertical="center" wrapText="1" readingOrder="1"/>
    </xf>
    <xf numFmtId="0" fontId="11" fillId="2" borderId="37" xfId="0" applyFont="1" applyFill="1" applyBorder="1" applyAlignment="1">
      <alignment horizontal="center" vertical="center" wrapText="1" readingOrder="1"/>
    </xf>
    <xf numFmtId="0" fontId="11" fillId="2" borderId="2" xfId="0" applyFont="1" applyFill="1" applyBorder="1" applyAlignment="1">
      <alignment horizontal="center" vertical="center" wrapText="1" readingOrder="1"/>
    </xf>
    <xf numFmtId="0" fontId="11" fillId="2" borderId="19" xfId="0" applyFont="1" applyFill="1" applyBorder="1" applyAlignment="1">
      <alignment horizontal="center" vertical="center" wrapText="1" readingOrder="1"/>
    </xf>
    <xf numFmtId="0" fontId="11" fillId="2" borderId="38" xfId="0" applyFont="1" applyFill="1" applyBorder="1" applyAlignment="1">
      <alignment horizontal="center" vertical="center" wrapText="1" readingOrder="1"/>
    </xf>
    <xf numFmtId="0" fontId="11" fillId="2" borderId="39" xfId="0" applyFont="1" applyFill="1" applyBorder="1" applyAlignment="1">
      <alignment horizontal="center" vertical="center" wrapText="1" readingOrder="1"/>
    </xf>
    <xf numFmtId="0" fontId="11" fillId="20" borderId="40" xfId="0" applyFont="1" applyFill="1" applyBorder="1" applyAlignment="1">
      <alignment horizontal="center" vertical="center" wrapText="1" readingOrder="1"/>
    </xf>
    <xf numFmtId="0" fontId="11" fillId="10" borderId="41" xfId="0" applyFont="1" applyFill="1" applyBorder="1" applyAlignment="1">
      <alignment horizontal="left" vertical="center" wrapText="1" readingOrder="1"/>
    </xf>
    <xf numFmtId="0" fontId="11" fillId="20" borderId="19" xfId="0" applyFont="1" applyFill="1" applyBorder="1" applyAlignment="1">
      <alignment horizontal="center" vertical="center" wrapText="1" readingOrder="1"/>
    </xf>
    <xf numFmtId="0" fontId="11" fillId="10" borderId="0" xfId="0" applyFont="1" applyFill="1" applyBorder="1" applyAlignment="1">
      <alignment horizontal="left" vertical="center" wrapText="1" readingOrder="1"/>
    </xf>
    <xf numFmtId="0" fontId="11" fillId="2" borderId="20" xfId="0" applyFont="1" applyFill="1" applyBorder="1" applyAlignment="1">
      <alignment horizontal="center" vertical="center" readingOrder="1"/>
    </xf>
    <xf numFmtId="0" fontId="11" fillId="2" borderId="21" xfId="0" applyFont="1" applyFill="1" applyBorder="1" applyAlignment="1">
      <alignment horizontal="center" vertical="center" readingOrder="1"/>
    </xf>
    <xf numFmtId="0" fontId="0" fillId="0" borderId="12" xfId="0" applyBorder="1" applyAlignment="1">
      <alignment vertical="center"/>
    </xf>
    <xf numFmtId="9" fontId="11" fillId="2" borderId="1" xfId="0" applyNumberFormat="1" applyFont="1" applyFill="1" applyBorder="1" applyAlignment="1">
      <alignment horizontal="center" vertical="center" readingOrder="1"/>
    </xf>
    <xf numFmtId="10" fontId="11" fillId="2" borderId="1" xfId="0" applyNumberFormat="1" applyFont="1" applyFill="1" applyBorder="1" applyAlignment="1">
      <alignment horizontal="center" vertical="center" readingOrder="1"/>
    </xf>
    <xf numFmtId="0" fontId="33" fillId="2" borderId="1" xfId="0" applyFont="1" applyFill="1" applyBorder="1" applyAlignment="1">
      <alignment horizontal="center" vertical="center" wrapText="1"/>
    </xf>
    <xf numFmtId="0" fontId="32" fillId="2" borderId="42" xfId="0" applyFont="1" applyFill="1" applyBorder="1" applyAlignment="1">
      <alignment horizontal="center" vertical="center" wrapText="1" readingOrder="1"/>
    </xf>
    <xf numFmtId="0" fontId="32" fillId="2" borderId="43" xfId="0" applyFont="1" applyFill="1" applyBorder="1" applyAlignment="1">
      <alignment horizontal="center" vertical="center" wrapText="1" readingOrder="1"/>
    </xf>
    <xf numFmtId="0" fontId="32" fillId="2" borderId="44" xfId="0" applyFont="1" applyFill="1" applyBorder="1" applyAlignment="1">
      <alignment horizontal="center" vertical="center" wrapText="1" readingOrder="1"/>
    </xf>
    <xf numFmtId="0" fontId="32" fillId="2" borderId="45" xfId="0" applyFont="1" applyFill="1" applyBorder="1" applyAlignment="1">
      <alignment horizontal="center" vertical="center" wrapText="1" readingOrder="1"/>
    </xf>
    <xf numFmtId="0" fontId="11" fillId="2" borderId="36" xfId="0" applyFont="1" applyFill="1" applyBorder="1" applyAlignment="1">
      <alignment horizontal="left" vertical="center" wrapText="1" readingOrder="1"/>
    </xf>
    <xf numFmtId="0" fontId="11" fillId="2" borderId="46" xfId="0" applyFont="1" applyFill="1" applyBorder="1" applyAlignment="1">
      <alignment horizontal="left" vertical="center" wrapText="1" readingOrder="1"/>
    </xf>
    <xf numFmtId="0" fontId="11" fillId="2" borderId="47" xfId="0" applyFont="1" applyFill="1" applyBorder="1" applyAlignment="1">
      <alignment horizontal="left" vertical="center" wrapText="1" readingOrder="1"/>
    </xf>
    <xf numFmtId="0" fontId="11" fillId="2" borderId="48" xfId="0" applyFont="1" applyFill="1" applyBorder="1" applyAlignment="1">
      <alignment horizontal="center" vertical="center" wrapText="1" readingOrder="1"/>
    </xf>
    <xf numFmtId="0" fontId="11" fillId="2" borderId="49" xfId="0" applyFont="1" applyFill="1" applyBorder="1" applyAlignment="1">
      <alignment horizontal="left" vertical="center" wrapText="1" readingOrder="1"/>
    </xf>
    <xf numFmtId="0" fontId="11" fillId="2" borderId="50" xfId="0" applyFont="1" applyFill="1" applyBorder="1" applyAlignment="1">
      <alignment horizontal="left" vertical="center" wrapText="1" readingOrder="1"/>
    </xf>
    <xf numFmtId="0" fontId="11" fillId="2" borderId="51" xfId="0" applyFont="1" applyFill="1" applyBorder="1" applyAlignment="1">
      <alignment horizontal="left" vertical="center" wrapText="1" readingOrder="1"/>
    </xf>
    <xf numFmtId="0" fontId="11" fillId="2" borderId="52" xfId="0" applyFont="1" applyFill="1" applyBorder="1" applyAlignment="1">
      <alignment horizontal="center" vertical="center" wrapText="1" readingOrder="1"/>
    </xf>
    <xf numFmtId="0" fontId="11" fillId="2" borderId="53" xfId="0" applyFont="1" applyFill="1" applyBorder="1" applyAlignment="1">
      <alignment horizontal="center" vertical="center" wrapText="1" readingOrder="1"/>
    </xf>
    <xf numFmtId="0" fontId="11" fillId="2" borderId="54" xfId="0" applyFont="1" applyFill="1" applyBorder="1" applyAlignment="1">
      <alignment horizontal="left" vertical="center" wrapText="1" readingOrder="1"/>
    </xf>
    <xf numFmtId="0" fontId="11" fillId="2" borderId="55" xfId="0" applyFont="1" applyFill="1" applyBorder="1" applyAlignment="1">
      <alignment horizontal="left" vertical="center" wrapText="1" readingOrder="1"/>
    </xf>
    <xf numFmtId="0" fontId="11" fillId="2" borderId="56" xfId="0" applyFont="1" applyFill="1" applyBorder="1" applyAlignment="1">
      <alignment horizontal="left" vertical="center" wrapText="1" readingOrder="1"/>
    </xf>
    <xf numFmtId="0" fontId="11" fillId="2" borderId="57" xfId="0" applyFont="1" applyFill="1" applyBorder="1" applyAlignment="1">
      <alignment horizontal="center" vertical="center" wrapText="1" readingOrder="1"/>
    </xf>
    <xf numFmtId="0" fontId="11" fillId="2" borderId="58" xfId="0" applyFont="1" applyFill="1" applyBorder="1" applyAlignment="1">
      <alignment horizontal="center" vertical="center" wrapText="1" readingOrder="1"/>
    </xf>
    <xf numFmtId="0" fontId="11" fillId="2" borderId="59" xfId="0" applyFont="1" applyFill="1" applyBorder="1" applyAlignment="1">
      <alignment horizontal="center" vertical="center" wrapText="1" readingOrder="1"/>
    </xf>
    <xf numFmtId="0" fontId="11" fillId="2" borderId="60" xfId="0" applyFont="1" applyFill="1" applyBorder="1" applyAlignment="1">
      <alignment horizontal="center" vertical="center" wrapText="1" readingOrder="1"/>
    </xf>
    <xf numFmtId="0" fontId="11" fillId="2" borderId="61" xfId="0" applyFont="1" applyFill="1" applyBorder="1" applyAlignment="1">
      <alignment horizontal="center" vertical="center" wrapText="1" readingOrder="1"/>
    </xf>
    <xf numFmtId="0" fontId="11" fillId="2" borderId="46" xfId="0" applyFont="1" applyFill="1" applyBorder="1" applyAlignment="1">
      <alignment horizontal="center" vertical="center" wrapText="1" readingOrder="1"/>
    </xf>
    <xf numFmtId="0" fontId="11" fillId="2" borderId="47" xfId="0" applyFont="1" applyFill="1" applyBorder="1" applyAlignment="1">
      <alignment horizontal="center" vertical="center" wrapText="1" readingOrder="1"/>
    </xf>
    <xf numFmtId="0" fontId="34" fillId="2" borderId="0" xfId="0" applyFont="1" applyFill="1" applyBorder="1" applyAlignment="1">
      <alignment horizontal="center" vertical="center" readingOrder="1"/>
    </xf>
    <xf numFmtId="0" fontId="11" fillId="2" borderId="62" xfId="0" applyFont="1" applyFill="1" applyBorder="1" applyAlignment="1">
      <alignment horizontal="center" vertical="center" wrapText="1" readingOrder="1"/>
    </xf>
    <xf numFmtId="0" fontId="11" fillId="2" borderId="58" xfId="0" applyFont="1" applyFill="1" applyBorder="1" applyAlignment="1">
      <alignment horizontal="left" vertical="center" wrapText="1" readingOrder="1"/>
    </xf>
    <xf numFmtId="0" fontId="11" fillId="2" borderId="59" xfId="0" applyFont="1" applyFill="1" applyBorder="1" applyAlignment="1">
      <alignment horizontal="left" vertical="center" wrapText="1" readingOrder="1"/>
    </xf>
    <xf numFmtId="0" fontId="11" fillId="2" borderId="60" xfId="0" applyFont="1" applyFill="1" applyBorder="1" applyAlignment="1">
      <alignment horizontal="left" vertical="center" wrapText="1" readingOrder="1"/>
    </xf>
    <xf numFmtId="0" fontId="11" fillId="2" borderId="1" xfId="0" applyFont="1" applyFill="1" applyBorder="1" applyAlignment="1">
      <alignment horizontal="left" vertical="center" wrapText="1" readingOrder="1"/>
    </xf>
    <xf numFmtId="0" fontId="11" fillId="2" borderId="63" xfId="0" applyFont="1" applyFill="1" applyBorder="1" applyAlignment="1">
      <alignment horizontal="center" vertical="center" wrapText="1" readingOrder="1"/>
    </xf>
    <xf numFmtId="0" fontId="11" fillId="2" borderId="64" xfId="0" applyFont="1" applyFill="1" applyBorder="1" applyAlignment="1">
      <alignment horizontal="left" vertical="center" wrapText="1" readingOrder="1"/>
    </xf>
    <xf numFmtId="0" fontId="11" fillId="2" borderId="65" xfId="0" applyFont="1" applyFill="1" applyBorder="1" applyAlignment="1">
      <alignment horizontal="left" vertical="center" wrapText="1" readingOrder="1"/>
    </xf>
    <xf numFmtId="0" fontId="11" fillId="2" borderId="66" xfId="0" applyFont="1" applyFill="1" applyBorder="1" applyAlignment="1">
      <alignment horizontal="left" vertical="center" wrapText="1" readingOrder="1"/>
    </xf>
    <xf numFmtId="0" fontId="11" fillId="2" borderId="67" xfId="0" applyFont="1" applyFill="1" applyBorder="1" applyAlignment="1">
      <alignment horizontal="center" vertical="center" wrapText="1" readingOrder="1"/>
    </xf>
    <xf numFmtId="0" fontId="11" fillId="2" borderId="68" xfId="0" applyFont="1" applyFill="1" applyBorder="1" applyAlignment="1">
      <alignment horizontal="center" vertical="center" readingOrder="1"/>
    </xf>
    <xf numFmtId="0" fontId="11" fillId="2" borderId="25" xfId="0" applyFont="1" applyFill="1" applyBorder="1" applyAlignment="1">
      <alignment horizontal="center" vertical="center" readingOrder="1"/>
    </xf>
    <xf numFmtId="0" fontId="34" fillId="2" borderId="25" xfId="0" applyFont="1" applyFill="1" applyBorder="1" applyAlignment="1">
      <alignment horizontal="center" vertical="center" readingOrder="1"/>
    </xf>
    <xf numFmtId="0" fontId="27" fillId="2" borderId="69" xfId="166" applyFont="1" applyFill="1" applyBorder="1" applyAlignment="1">
      <alignment horizontal="right" vertical="center"/>
    </xf>
    <xf numFmtId="0" fontId="11" fillId="2" borderId="26" xfId="0" applyFont="1" applyFill="1" applyBorder="1" applyAlignment="1">
      <alignment horizontal="center" vertical="center" readingOrder="1"/>
    </xf>
    <xf numFmtId="0" fontId="16" fillId="19" borderId="15" xfId="0" applyFont="1" applyFill="1" applyBorder="1" applyAlignment="1">
      <alignment horizontal="center" vertical="center" wrapText="1" readingOrder="1"/>
    </xf>
    <xf numFmtId="0" fontId="16" fillId="19" borderId="16" xfId="0" applyFont="1" applyFill="1" applyBorder="1" applyAlignment="1">
      <alignment horizontal="center" vertical="center" wrapText="1" readingOrder="1"/>
    </xf>
    <xf numFmtId="0" fontId="16" fillId="19" borderId="22" xfId="0" applyFont="1" applyFill="1" applyBorder="1" applyAlignment="1">
      <alignment horizontal="center" vertical="center" wrapText="1" readingOrder="1"/>
    </xf>
    <xf numFmtId="0" fontId="3" fillId="19" borderId="16" xfId="0" applyFont="1" applyFill="1" applyBorder="1" applyAlignment="1">
      <alignment horizontal="center" vertical="center" wrapText="1" readingOrder="1"/>
    </xf>
    <xf numFmtId="0" fontId="3" fillId="19" borderId="22" xfId="0" applyFont="1" applyFill="1" applyBorder="1" applyAlignment="1">
      <alignment horizontal="center" vertical="center" wrapText="1" readingOrder="1"/>
    </xf>
    <xf numFmtId="0" fontId="16" fillId="19" borderId="17" xfId="0" applyFont="1" applyFill="1" applyBorder="1" applyAlignment="1">
      <alignment horizontal="center" vertical="center" wrapText="1" readingOrder="1"/>
    </xf>
    <xf numFmtId="0" fontId="16" fillId="19" borderId="1" xfId="0" applyFont="1" applyFill="1" applyBorder="1" applyAlignment="1">
      <alignment horizontal="center" vertical="center" wrapText="1" readingOrder="1"/>
    </xf>
    <xf numFmtId="0" fontId="16" fillId="19" borderId="4" xfId="0" applyFont="1" applyFill="1" applyBorder="1" applyAlignment="1">
      <alignment horizontal="center" vertical="center" wrapText="1" readingOrder="1"/>
    </xf>
    <xf numFmtId="0" fontId="3" fillId="19" borderId="1" xfId="0" applyFont="1" applyFill="1" applyBorder="1" applyAlignment="1">
      <alignment horizontal="center" vertical="center" wrapText="1" readingOrder="1"/>
    </xf>
    <xf numFmtId="0" fontId="3" fillId="19" borderId="4" xfId="0" applyFont="1" applyFill="1" applyBorder="1" applyAlignment="1">
      <alignment horizontal="center" vertical="center" wrapText="1" readingOrder="1"/>
    </xf>
    <xf numFmtId="0" fontId="35" fillId="2" borderId="17" xfId="0" applyFont="1" applyFill="1" applyBorder="1" applyAlignment="1">
      <alignment horizontal="center" vertical="center" wrapText="1" readingOrder="1"/>
    </xf>
    <xf numFmtId="0" fontId="35" fillId="2" borderId="1" xfId="0" applyFont="1" applyFill="1" applyBorder="1" applyAlignment="1">
      <alignment horizontal="center" vertical="center" wrapText="1" readingOrder="1"/>
    </xf>
    <xf numFmtId="0" fontId="16" fillId="0" borderId="4" xfId="0" applyFont="1" applyFill="1" applyBorder="1" applyAlignment="1">
      <alignment horizontal="center" vertical="center" wrapText="1" readingOrder="1"/>
    </xf>
    <xf numFmtId="10" fontId="35" fillId="2" borderId="1" xfId="0" applyNumberFormat="1" applyFont="1" applyFill="1" applyBorder="1" applyAlignment="1">
      <alignment horizontal="center" vertical="center" wrapText="1" readingOrder="1"/>
    </xf>
    <xf numFmtId="0" fontId="16" fillId="0" borderId="1" xfId="0" applyFont="1" applyFill="1" applyBorder="1" applyAlignment="1">
      <alignment horizontal="center" vertical="center" wrapText="1" readingOrder="1"/>
    </xf>
    <xf numFmtId="0" fontId="35" fillId="2" borderId="18" xfId="0" applyFont="1" applyFill="1" applyBorder="1" applyAlignment="1">
      <alignment horizontal="center" vertical="center" wrapText="1" readingOrder="1"/>
    </xf>
    <xf numFmtId="9" fontId="35" fillId="2" borderId="1" xfId="0" applyNumberFormat="1" applyFont="1" applyFill="1" applyBorder="1" applyAlignment="1">
      <alignment horizontal="center" vertical="center" wrapText="1" readingOrder="1"/>
    </xf>
    <xf numFmtId="0" fontId="35" fillId="2" borderId="27" xfId="0" applyFont="1" applyFill="1" applyBorder="1" applyAlignment="1">
      <alignment horizontal="center" vertical="center" wrapText="1" readingOrder="1"/>
    </xf>
    <xf numFmtId="0" fontId="35" fillId="2" borderId="2" xfId="0" applyFont="1" applyFill="1" applyBorder="1" applyAlignment="1">
      <alignment horizontal="center" vertical="center" wrapText="1" readingOrder="1"/>
    </xf>
    <xf numFmtId="9" fontId="35" fillId="2" borderId="2" xfId="0" applyNumberFormat="1" applyFont="1" applyFill="1" applyBorder="1" applyAlignment="1">
      <alignment horizontal="center" vertical="center" wrapText="1" readingOrder="1"/>
    </xf>
    <xf numFmtId="0" fontId="35" fillId="2" borderId="70" xfId="0" applyFont="1" applyFill="1" applyBorder="1" applyAlignment="1">
      <alignment horizontal="center" vertical="center" wrapText="1" readingOrder="1"/>
    </xf>
    <xf numFmtId="0" fontId="35" fillId="2" borderId="12" xfId="0" applyFont="1" applyFill="1" applyBorder="1" applyAlignment="1">
      <alignment horizontal="center" vertical="center" wrapText="1" readingOrder="1"/>
    </xf>
    <xf numFmtId="0" fontId="35" fillId="2" borderId="71" xfId="0" applyFont="1" applyFill="1" applyBorder="1" applyAlignment="1">
      <alignment horizontal="center" vertical="center" wrapText="1" readingOrder="1"/>
    </xf>
    <xf numFmtId="10" fontId="35" fillId="2" borderId="2" xfId="0" applyNumberFormat="1" applyFont="1" applyFill="1" applyBorder="1" applyAlignment="1">
      <alignment horizontal="center" vertical="center" wrapText="1" readingOrder="1"/>
    </xf>
    <xf numFmtId="0" fontId="35" fillId="2" borderId="72" xfId="0" applyFont="1" applyFill="1" applyBorder="1" applyAlignment="1">
      <alignment horizontal="center" vertical="center" wrapText="1" readingOrder="1"/>
    </xf>
    <xf numFmtId="0" fontId="35" fillId="2" borderId="19" xfId="0" applyFont="1" applyFill="1" applyBorder="1" applyAlignment="1">
      <alignment horizontal="center" vertical="center" wrapText="1" readingOrder="1"/>
    </xf>
    <xf numFmtId="0" fontId="11" fillId="2" borderId="19" xfId="0" applyFont="1" applyFill="1" applyBorder="1" applyAlignment="1">
      <alignment vertical="center" wrapText="1" readingOrder="1"/>
    </xf>
    <xf numFmtId="0" fontId="0" fillId="2" borderId="0" xfId="0" applyFill="1" applyBorder="1" applyAlignment="1"/>
    <xf numFmtId="0" fontId="0" fillId="2" borderId="19" xfId="0" applyFill="1" applyBorder="1" applyAlignment="1"/>
    <xf numFmtId="0" fontId="11" fillId="28" borderId="0" xfId="0" applyFont="1" applyFill="1" applyBorder="1" applyAlignment="1">
      <alignment horizontal="center" vertical="center"/>
    </xf>
    <xf numFmtId="0" fontId="11" fillId="10" borderId="0" xfId="0" applyFont="1" applyFill="1" applyBorder="1" applyAlignment="1">
      <alignment horizontal="left" vertical="center" wrapText="1"/>
    </xf>
    <xf numFmtId="0" fontId="11" fillId="10" borderId="0" xfId="0" applyFont="1" applyFill="1" applyBorder="1" applyAlignment="1">
      <alignment horizontal="left" vertical="center"/>
    </xf>
    <xf numFmtId="0" fontId="0" fillId="2" borderId="20" xfId="0" applyFill="1" applyBorder="1" applyAlignment="1"/>
    <xf numFmtId="0" fontId="0" fillId="2" borderId="21" xfId="0" applyFill="1" applyBorder="1" applyAlignment="1"/>
    <xf numFmtId="0" fontId="16" fillId="19" borderId="23" xfId="0" applyFont="1" applyFill="1" applyBorder="1" applyAlignment="1">
      <alignment horizontal="center" vertical="center" wrapText="1" readingOrder="1"/>
    </xf>
    <xf numFmtId="0" fontId="16" fillId="19" borderId="24" xfId="0" applyFont="1" applyFill="1" applyBorder="1" applyAlignment="1">
      <alignment horizontal="center" vertical="center" wrapText="1" readingOrder="1"/>
    </xf>
    <xf numFmtId="0" fontId="35" fillId="2" borderId="24" xfId="0" applyFont="1" applyFill="1" applyBorder="1" applyAlignment="1">
      <alignment horizontal="left" vertical="center" wrapText="1" readingOrder="1"/>
    </xf>
    <xf numFmtId="0" fontId="35" fillId="2" borderId="3" xfId="0" applyFont="1" applyFill="1" applyBorder="1" applyAlignment="1">
      <alignment horizontal="center" vertical="center" wrapText="1" readingOrder="1"/>
    </xf>
    <xf numFmtId="0" fontId="35" fillId="2" borderId="73" xfId="0" applyFont="1" applyFill="1" applyBorder="1" applyAlignment="1">
      <alignment horizontal="center" vertical="center" wrapText="1" readingOrder="1"/>
    </xf>
    <xf numFmtId="0" fontId="35" fillId="2" borderId="74" xfId="0" applyFont="1" applyFill="1" applyBorder="1" applyAlignment="1">
      <alignment horizontal="center" vertical="center" wrapText="1" readingOrder="1"/>
    </xf>
    <xf numFmtId="0" fontId="16" fillId="0" borderId="73" xfId="0" applyFont="1" applyFill="1" applyBorder="1" applyAlignment="1">
      <alignment horizontal="center" vertical="center" wrapText="1" readingOrder="1"/>
    </xf>
    <xf numFmtId="0" fontId="35" fillId="2" borderId="73" xfId="0" applyFont="1" applyFill="1" applyBorder="1" applyAlignment="1">
      <alignment horizontal="left" vertical="center" wrapText="1" readingOrder="1"/>
    </xf>
    <xf numFmtId="0" fontId="35" fillId="2" borderId="75" xfId="0" applyFont="1" applyFill="1" applyBorder="1" applyAlignment="1">
      <alignment horizontal="left" vertical="center" wrapText="1" readingOrder="1"/>
    </xf>
    <xf numFmtId="0" fontId="35" fillId="2" borderId="4" xfId="0" applyFont="1" applyFill="1" applyBorder="1" applyAlignment="1">
      <alignment horizontal="center" vertical="center" wrapText="1" readingOrder="1"/>
    </xf>
    <xf numFmtId="0" fontId="0" fillId="2" borderId="25" xfId="0" applyFill="1" applyBorder="1" applyAlignment="1"/>
    <xf numFmtId="0" fontId="0" fillId="2" borderId="26" xfId="0" applyFill="1" applyBorder="1" applyAlignment="1"/>
    <xf numFmtId="0" fontId="16" fillId="2" borderId="18" xfId="0" applyFont="1" applyFill="1" applyBorder="1" applyAlignment="1">
      <alignment horizontal="center" vertical="center" wrapText="1" readingOrder="1"/>
    </xf>
    <xf numFmtId="0" fontId="16" fillId="2" borderId="1" xfId="0" applyFont="1" applyFill="1" applyBorder="1" applyAlignment="1">
      <alignment horizontal="center" vertical="center" wrapText="1" readingOrder="1"/>
    </xf>
    <xf numFmtId="0" fontId="16" fillId="2" borderId="71" xfId="0" applyFont="1" applyFill="1" applyBorder="1" applyAlignment="1">
      <alignment horizontal="center" vertical="center" wrapText="1" readingOrder="1"/>
    </xf>
    <xf numFmtId="0" fontId="16" fillId="2" borderId="2" xfId="0" applyFont="1" applyFill="1" applyBorder="1" applyAlignment="1">
      <alignment horizontal="center" vertical="center" wrapText="1" readingOrder="1"/>
    </xf>
    <xf numFmtId="0" fontId="16" fillId="2" borderId="3" xfId="0" applyFont="1" applyFill="1" applyBorder="1" applyAlignment="1">
      <alignment horizontal="center" vertical="center" wrapText="1" readingOrder="1"/>
    </xf>
    <xf numFmtId="0" fontId="26" fillId="2" borderId="2" xfId="0" applyFont="1" applyFill="1" applyBorder="1" applyAlignment="1">
      <alignment horizontal="center" vertical="center" wrapText="1" readingOrder="1"/>
    </xf>
    <xf numFmtId="0" fontId="26" fillId="2" borderId="3" xfId="0" applyFont="1" applyFill="1" applyBorder="1" applyAlignment="1">
      <alignment horizontal="center" vertical="center" wrapText="1" readingOrder="1"/>
    </xf>
    <xf numFmtId="0" fontId="16" fillId="2" borderId="27" xfId="0" applyFont="1" applyFill="1" applyBorder="1" applyAlignment="1">
      <alignment horizontal="center" vertical="center" wrapText="1" readingOrder="1"/>
    </xf>
    <xf numFmtId="0" fontId="26" fillId="2" borderId="4" xfId="0" applyFont="1" applyFill="1" applyBorder="1" applyAlignment="1">
      <alignment horizontal="center" vertical="center" wrapText="1" readingOrder="1"/>
    </xf>
    <xf numFmtId="0" fontId="16" fillId="2" borderId="4" xfId="0" applyFont="1" applyFill="1" applyBorder="1" applyAlignment="1">
      <alignment horizontal="center" vertical="center" wrapText="1" readingOrder="1"/>
    </xf>
    <xf numFmtId="0" fontId="16" fillId="2" borderId="76" xfId="0" applyFont="1" applyFill="1" applyBorder="1" applyAlignment="1">
      <alignment horizontal="center" vertical="center" wrapText="1" readingOrder="1"/>
    </xf>
    <xf numFmtId="0" fontId="16" fillId="2" borderId="5" xfId="0" applyFont="1" applyFill="1" applyBorder="1" applyAlignment="1">
      <alignment horizontal="center" vertical="center" wrapText="1" readingOrder="1"/>
    </xf>
    <xf numFmtId="0" fontId="11" fillId="23" borderId="0" xfId="0" applyFont="1" applyFill="1" applyBorder="1" applyAlignment="1">
      <alignment horizontal="center" vertical="center"/>
    </xf>
    <xf numFmtId="0" fontId="11" fillId="23" borderId="0" xfId="0" applyFont="1" applyFill="1" applyBorder="1" applyAlignment="1">
      <alignment horizontal="left" vertical="top" wrapText="1"/>
    </xf>
    <xf numFmtId="0" fontId="11" fillId="23" borderId="0" xfId="0" applyFont="1" applyFill="1" applyBorder="1" applyAlignment="1">
      <alignment horizontal="left" vertical="top"/>
    </xf>
    <xf numFmtId="0" fontId="0" fillId="23" borderId="77" xfId="0" applyFill="1" applyBorder="1" applyAlignment="1">
      <alignment horizontal="center" vertical="center"/>
    </xf>
    <xf numFmtId="0" fontId="0" fillId="23" borderId="8" xfId="0" applyFill="1" applyBorder="1" applyAlignment="1">
      <alignment horizontal="center" vertical="center"/>
    </xf>
    <xf numFmtId="0" fontId="0" fillId="23" borderId="78" xfId="0" applyFill="1" applyBorder="1" applyAlignment="1">
      <alignment horizontal="center" vertical="center"/>
    </xf>
    <xf numFmtId="0" fontId="16" fillId="19" borderId="79" xfId="0" applyFont="1" applyFill="1" applyBorder="1" applyAlignment="1">
      <alignment horizontal="center" vertical="center" wrapText="1" readingOrder="1"/>
    </xf>
    <xf numFmtId="0" fontId="16" fillId="19" borderId="74" xfId="0" applyFont="1" applyFill="1" applyBorder="1" applyAlignment="1">
      <alignment horizontal="center" vertical="center" wrapText="1" readingOrder="1"/>
    </xf>
    <xf numFmtId="0" fontId="16" fillId="2" borderId="1" xfId="0" applyFont="1" applyFill="1" applyBorder="1" applyAlignment="1">
      <alignment horizontal="left" vertical="center" wrapText="1" readingOrder="1"/>
    </xf>
    <xf numFmtId="0" fontId="16" fillId="2" borderId="24" xfId="0" applyFont="1" applyFill="1" applyBorder="1" applyAlignment="1">
      <alignment horizontal="left" vertical="center" wrapText="1"/>
    </xf>
    <xf numFmtId="0" fontId="16" fillId="2" borderId="24" xfId="0" applyFont="1" applyFill="1" applyBorder="1" applyAlignment="1">
      <alignment horizontal="left" vertical="center" wrapText="1" readingOrder="1"/>
    </xf>
    <xf numFmtId="0" fontId="16" fillId="2" borderId="73" xfId="0" applyFont="1" applyFill="1" applyBorder="1" applyAlignment="1">
      <alignment horizontal="left" vertical="center" wrapText="1" readingOrder="1"/>
    </xf>
    <xf numFmtId="0" fontId="16" fillId="2" borderId="75" xfId="0" applyFont="1" applyFill="1" applyBorder="1" applyAlignment="1">
      <alignment horizontal="left" vertical="center" wrapText="1" readingOrder="1"/>
    </xf>
    <xf numFmtId="0" fontId="16" fillId="2" borderId="74" xfId="0" applyFont="1" applyFill="1" applyBorder="1" applyAlignment="1">
      <alignment horizontal="left" vertical="center" wrapText="1" readingOrder="1"/>
    </xf>
    <xf numFmtId="0" fontId="16" fillId="2" borderId="2" xfId="0" applyFont="1" applyFill="1" applyBorder="1" applyAlignment="1">
      <alignment horizontal="left" vertical="center" wrapText="1" readingOrder="1"/>
    </xf>
    <xf numFmtId="0" fontId="16" fillId="2" borderId="3" xfId="0" applyFont="1" applyFill="1" applyBorder="1" applyAlignment="1">
      <alignment horizontal="left" vertical="center" wrapText="1" readingOrder="1"/>
    </xf>
    <xf numFmtId="0" fontId="26" fillId="2" borderId="2" xfId="0" applyFont="1" applyFill="1" applyBorder="1" applyAlignment="1">
      <alignment horizontal="left" vertical="center" wrapText="1" readingOrder="1"/>
    </xf>
    <xf numFmtId="0" fontId="26" fillId="2" borderId="24" xfId="0" applyFont="1" applyFill="1" applyBorder="1" applyAlignment="1">
      <alignment horizontal="left" vertical="center" wrapText="1" readingOrder="1"/>
    </xf>
    <xf numFmtId="0" fontId="26" fillId="2" borderId="3" xfId="0" applyFont="1" applyFill="1" applyBorder="1" applyAlignment="1">
      <alignment horizontal="left" vertical="center" wrapText="1" readingOrder="1"/>
    </xf>
    <xf numFmtId="0" fontId="26" fillId="2" borderId="4" xfId="0" applyFont="1" applyFill="1" applyBorder="1" applyAlignment="1">
      <alignment horizontal="left" vertical="center" wrapText="1" readingOrder="1"/>
    </xf>
    <xf numFmtId="0" fontId="16" fillId="2" borderId="4" xfId="0" applyFont="1" applyFill="1" applyBorder="1" applyAlignment="1">
      <alignment horizontal="left" vertical="center" wrapText="1" readingOrder="1"/>
    </xf>
    <xf numFmtId="0" fontId="10" fillId="2" borderId="24" xfId="0" applyFont="1" applyFill="1" applyBorder="1" applyAlignment="1">
      <alignment horizontal="left" vertical="center" wrapText="1"/>
    </xf>
    <xf numFmtId="0" fontId="16" fillId="2" borderId="5" xfId="0" applyFont="1" applyFill="1" applyBorder="1" applyAlignment="1">
      <alignment horizontal="left" vertical="center" wrapText="1" readingOrder="1"/>
    </xf>
    <xf numFmtId="0" fontId="16" fillId="2" borderId="80" xfId="0" applyFont="1" applyFill="1" applyBorder="1" applyAlignment="1">
      <alignment horizontal="left" vertical="center" wrapText="1" readingOrder="1"/>
    </xf>
    <xf numFmtId="0" fontId="0" fillId="2" borderId="25" xfId="0" applyFill="1" applyBorder="1" applyAlignment="1">
      <alignment horizontal="left"/>
    </xf>
    <xf numFmtId="0" fontId="0" fillId="23" borderId="81" xfId="0" applyFill="1" applyBorder="1" applyAlignment="1">
      <alignment horizontal="center" vertical="center"/>
    </xf>
    <xf numFmtId="0" fontId="0" fillId="23" borderId="1" xfId="0" applyFill="1" applyBorder="1" applyAlignment="1">
      <alignment horizontal="center" vertical="center"/>
    </xf>
    <xf numFmtId="0" fontId="0" fillId="23" borderId="82" xfId="0" applyFill="1" applyBorder="1" applyAlignment="1">
      <alignment horizontal="center" vertical="center"/>
    </xf>
    <xf numFmtId="0" fontId="0" fillId="23" borderId="83" xfId="0" applyFill="1" applyBorder="1" applyAlignment="1">
      <alignment horizontal="center" vertical="center"/>
    </xf>
    <xf numFmtId="0" fontId="0" fillId="23" borderId="84" xfId="0" applyFill="1" applyBorder="1" applyAlignment="1">
      <alignment horizontal="center" vertical="center"/>
    </xf>
    <xf numFmtId="0" fontId="0" fillId="23" borderId="85" xfId="0" applyFill="1" applyBorder="1" applyAlignment="1">
      <alignment horizontal="center" vertical="center"/>
    </xf>
    <xf numFmtId="0" fontId="0" fillId="0" borderId="0" xfId="0" applyFill="1">
      <alignment vertical="center"/>
    </xf>
    <xf numFmtId="0" fontId="0" fillId="2" borderId="0" xfId="0" applyFill="1">
      <alignment vertical="center"/>
    </xf>
    <xf numFmtId="0" fontId="36" fillId="0" borderId="0" xfId="0" applyFont="1" applyFill="1">
      <alignment vertical="center"/>
    </xf>
    <xf numFmtId="0" fontId="37" fillId="0" borderId="0" xfId="0" applyFont="1" applyFill="1">
      <alignment vertical="center"/>
    </xf>
    <xf numFmtId="0" fontId="37" fillId="2" borderId="0" xfId="0" applyFont="1" applyFill="1">
      <alignment vertical="center"/>
    </xf>
    <xf numFmtId="0" fontId="0" fillId="29" borderId="0" xfId="0" applyFill="1">
      <alignment vertical="center"/>
    </xf>
    <xf numFmtId="0" fontId="0" fillId="0" borderId="0" xfId="0" applyFont="1" applyAlignment="1"/>
    <xf numFmtId="188" fontId="1" fillId="0" borderId="0" xfId="199" applyNumberFormat="1"/>
    <xf numFmtId="0" fontId="3" fillId="15" borderId="77" xfId="0" applyFont="1" applyFill="1" applyBorder="1" applyAlignment="1">
      <alignment horizontal="center" vertical="center"/>
    </xf>
    <xf numFmtId="0" fontId="3" fillId="15" borderId="8" xfId="18" applyFont="1" applyFill="1" applyBorder="1" applyAlignment="1">
      <alignment horizontal="center" vertical="center"/>
    </xf>
    <xf numFmtId="0" fontId="3" fillId="15" borderId="86" xfId="18" applyFont="1" applyFill="1" applyBorder="1" applyAlignment="1">
      <alignment horizontal="center" vertical="center"/>
    </xf>
    <xf numFmtId="0" fontId="3" fillId="15" borderId="87" xfId="18" applyFont="1" applyFill="1" applyBorder="1" applyAlignment="1">
      <alignment horizontal="center" vertical="center"/>
    </xf>
    <xf numFmtId="0" fontId="3" fillId="15" borderId="88" xfId="18" applyFont="1" applyFill="1" applyBorder="1" applyAlignment="1">
      <alignment horizontal="center" vertical="center"/>
    </xf>
    <xf numFmtId="0" fontId="3" fillId="15" borderId="89" xfId="18" applyFont="1" applyFill="1" applyBorder="1" applyAlignment="1">
      <alignment horizontal="center" vertical="center"/>
    </xf>
    <xf numFmtId="0" fontId="3" fillId="15" borderId="81" xfId="0" applyFont="1" applyFill="1" applyBorder="1" applyAlignment="1">
      <alignment horizontal="center" vertical="center"/>
    </xf>
    <xf numFmtId="0" fontId="3" fillId="15" borderId="1" xfId="18" applyFont="1" applyFill="1" applyBorder="1" applyAlignment="1">
      <alignment horizontal="center" vertical="center"/>
    </xf>
    <xf numFmtId="0" fontId="3" fillId="15" borderId="4" xfId="18" applyFont="1" applyFill="1" applyBorder="1" applyAlignment="1">
      <alignment horizontal="center" vertical="center"/>
    </xf>
    <xf numFmtId="0" fontId="3" fillId="15" borderId="1" xfId="18" applyFont="1" applyFill="1" applyBorder="1" applyAlignment="1">
      <alignment horizontal="center" vertical="center" wrapText="1"/>
    </xf>
    <xf numFmtId="0" fontId="3" fillId="11" borderId="9" xfId="0" applyFont="1" applyFill="1" applyBorder="1" applyAlignment="1">
      <alignment horizontal="center" vertical="center" wrapText="1"/>
    </xf>
    <xf numFmtId="0" fontId="16" fillId="2" borderId="1" xfId="268" applyFont="1" applyFill="1" applyBorder="1" applyAlignment="1">
      <alignment horizontal="center" vertical="center"/>
    </xf>
    <xf numFmtId="0" fontId="16" fillId="2" borderId="3" xfId="268" applyFont="1" applyFill="1" applyBorder="1" applyAlignment="1">
      <alignment horizontal="center" vertical="center" wrapText="1"/>
    </xf>
    <xf numFmtId="0" fontId="16" fillId="2" borderId="3" xfId="268" applyFont="1" applyFill="1" applyBorder="1" applyAlignment="1">
      <alignment horizontal="center" vertical="center"/>
    </xf>
    <xf numFmtId="0" fontId="16" fillId="2" borderId="2" xfId="268" applyFont="1" applyFill="1" applyBorder="1" applyAlignment="1">
      <alignment horizontal="center" vertical="center"/>
    </xf>
    <xf numFmtId="189" fontId="16" fillId="2" borderId="2" xfId="268" applyNumberFormat="1" applyFont="1" applyFill="1" applyBorder="1" applyAlignment="1">
      <alignment horizontal="center" vertical="center"/>
    </xf>
    <xf numFmtId="0" fontId="3" fillId="11" borderId="6" xfId="0" applyFont="1" applyFill="1" applyBorder="1" applyAlignment="1">
      <alignment horizontal="center" vertical="center" wrapText="1"/>
    </xf>
    <xf numFmtId="0" fontId="16" fillId="2" borderId="4" xfId="268" applyFont="1" applyFill="1" applyBorder="1" applyAlignment="1">
      <alignment horizontal="center" vertical="center" wrapText="1"/>
    </xf>
    <xf numFmtId="0" fontId="16" fillId="2" borderId="4" xfId="268" applyFont="1" applyFill="1" applyBorder="1" applyAlignment="1">
      <alignment horizontal="center" vertical="center"/>
    </xf>
    <xf numFmtId="0" fontId="3" fillId="8" borderId="90" xfId="0" applyFont="1" applyFill="1" applyBorder="1" applyAlignment="1">
      <alignment horizontal="center" vertical="center" wrapText="1"/>
    </xf>
    <xf numFmtId="0" fontId="38" fillId="2" borderId="1" xfId="267" applyFont="1" applyFill="1" applyBorder="1" applyAlignment="1">
      <alignment horizontal="center" vertical="center"/>
    </xf>
    <xf numFmtId="0" fontId="38" fillId="2" borderId="2" xfId="267" applyFont="1" applyFill="1" applyBorder="1" applyAlignment="1">
      <alignment horizontal="center" vertical="center"/>
    </xf>
    <xf numFmtId="0" fontId="16" fillId="2" borderId="1" xfId="267" applyFont="1" applyFill="1" applyBorder="1" applyAlignment="1">
      <alignment horizontal="center" vertical="center"/>
    </xf>
    <xf numFmtId="190" fontId="16" fillId="2" borderId="2" xfId="267" applyNumberFormat="1" applyFont="1" applyFill="1" applyBorder="1" applyAlignment="1">
      <alignment horizontal="center" vertical="center"/>
    </xf>
    <xf numFmtId="0" fontId="3" fillId="8" borderId="9" xfId="0" applyFont="1" applyFill="1" applyBorder="1" applyAlignment="1">
      <alignment horizontal="center" vertical="center" wrapText="1"/>
    </xf>
    <xf numFmtId="0" fontId="16" fillId="2" borderId="2" xfId="267" applyFont="1" applyFill="1" applyBorder="1" applyAlignment="1">
      <alignment horizontal="center" vertical="center"/>
    </xf>
    <xf numFmtId="0" fontId="38" fillId="2" borderId="3" xfId="267" applyFont="1" applyFill="1" applyBorder="1" applyAlignment="1">
      <alignment horizontal="center" vertical="center"/>
    </xf>
    <xf numFmtId="0" fontId="16" fillId="4" borderId="1" xfId="268" applyFont="1" applyFill="1" applyBorder="1" applyAlignment="1">
      <alignment horizontal="center" vertical="center"/>
    </xf>
    <xf numFmtId="0" fontId="38" fillId="4" borderId="2" xfId="268" applyFont="1" applyFill="1" applyBorder="1" applyAlignment="1">
      <alignment horizontal="center" vertical="center"/>
    </xf>
    <xf numFmtId="190" fontId="16" fillId="2" borderId="2" xfId="268" applyNumberFormat="1" applyFont="1" applyFill="1" applyBorder="1" applyAlignment="1">
      <alignment horizontal="center" vertical="center"/>
    </xf>
    <xf numFmtId="0" fontId="3" fillId="8" borderId="6" xfId="0" applyFont="1" applyFill="1" applyBorder="1" applyAlignment="1">
      <alignment horizontal="center" vertical="center" wrapText="1"/>
    </xf>
    <xf numFmtId="0" fontId="38" fillId="2" borderId="4" xfId="267" applyFont="1" applyFill="1" applyBorder="1" applyAlignment="1">
      <alignment horizontal="center" vertical="center"/>
    </xf>
    <xf numFmtId="0" fontId="16" fillId="25" borderId="91" xfId="0" applyFont="1" applyFill="1" applyBorder="1" applyAlignment="1">
      <alignment horizontal="center" vertical="center" wrapText="1"/>
    </xf>
    <xf numFmtId="0" fontId="16" fillId="2" borderId="2" xfId="267" applyFont="1" applyFill="1" applyBorder="1" applyAlignment="1">
      <alignment horizontal="center" vertical="center" wrapText="1"/>
    </xf>
    <xf numFmtId="0" fontId="16" fillId="25" borderId="92" xfId="0" applyFont="1" applyFill="1" applyBorder="1" applyAlignment="1">
      <alignment horizontal="center" vertical="center" wrapText="1"/>
    </xf>
    <xf numFmtId="0" fontId="16" fillId="2" borderId="3" xfId="267" applyFont="1" applyFill="1" applyBorder="1" applyAlignment="1">
      <alignment horizontal="center" vertical="center" wrapText="1"/>
    </xf>
    <xf numFmtId="0" fontId="16" fillId="2" borderId="3" xfId="267" applyFont="1" applyFill="1" applyBorder="1" applyAlignment="1">
      <alignment horizontal="center" vertical="center"/>
    </xf>
    <xf numFmtId="0" fontId="16" fillId="2" borderId="1" xfId="267" applyFont="1" applyFill="1" applyBorder="1" applyAlignment="1">
      <alignment horizontal="center" vertical="center" wrapText="1"/>
    </xf>
    <xf numFmtId="0" fontId="16" fillId="2" borderId="1" xfId="18" applyFont="1" applyFill="1" applyBorder="1" applyAlignment="1">
      <alignment horizontal="center" vertical="center"/>
    </xf>
    <xf numFmtId="0" fontId="16" fillId="25" borderId="93" xfId="0" applyFont="1" applyFill="1" applyBorder="1" applyAlignment="1">
      <alignment horizontal="center" vertical="center" wrapText="1"/>
    </xf>
    <xf numFmtId="0" fontId="16" fillId="2" borderId="4" xfId="267" applyFont="1" applyFill="1" applyBorder="1" applyAlignment="1">
      <alignment horizontal="center" vertical="center" wrapText="1"/>
    </xf>
    <xf numFmtId="0" fontId="16" fillId="2" borderId="4" xfId="267" applyFont="1" applyFill="1" applyBorder="1" applyAlignment="1">
      <alignment horizontal="center" vertical="center"/>
    </xf>
    <xf numFmtId="189" fontId="16" fillId="2" borderId="3" xfId="268" applyNumberFormat="1" applyFont="1" applyFill="1" applyBorder="1" applyAlignment="1">
      <alignment horizontal="center" vertical="center"/>
    </xf>
    <xf numFmtId="0" fontId="16" fillId="9" borderId="91" xfId="0" applyFont="1" applyFill="1" applyBorder="1" applyAlignment="1">
      <alignment horizontal="center" vertical="center" wrapText="1"/>
    </xf>
    <xf numFmtId="0" fontId="16" fillId="9" borderId="92" xfId="0" applyFont="1" applyFill="1" applyBorder="1" applyAlignment="1">
      <alignment horizontal="center" vertical="center" wrapText="1"/>
    </xf>
    <xf numFmtId="0" fontId="16" fillId="9" borderId="93" xfId="0" applyFont="1" applyFill="1" applyBorder="1" applyAlignment="1">
      <alignment horizontal="center" vertical="center" wrapText="1"/>
    </xf>
    <xf numFmtId="0" fontId="16" fillId="23" borderId="90" xfId="0" applyFont="1" applyFill="1" applyBorder="1" applyAlignment="1">
      <alignment horizontal="center" vertical="center" wrapText="1"/>
    </xf>
    <xf numFmtId="0" fontId="16" fillId="23" borderId="9" xfId="0" applyFont="1" applyFill="1" applyBorder="1" applyAlignment="1">
      <alignment horizontal="center" vertical="center" wrapText="1"/>
    </xf>
    <xf numFmtId="0" fontId="16" fillId="23" borderId="6" xfId="0" applyFont="1" applyFill="1" applyBorder="1" applyAlignment="1">
      <alignment horizontal="center" vertical="center" wrapText="1"/>
    </xf>
    <xf numFmtId="189" fontId="16" fillId="2" borderId="1" xfId="268" applyNumberFormat="1" applyFont="1" applyFill="1" applyBorder="1" applyAlignment="1">
      <alignment horizontal="center" vertical="center"/>
    </xf>
    <xf numFmtId="0" fontId="16" fillId="7" borderId="90" xfId="0" applyFont="1" applyFill="1" applyBorder="1" applyAlignment="1">
      <alignment horizontal="center" vertical="center" wrapText="1"/>
    </xf>
    <xf numFmtId="181" fontId="16" fillId="2" borderId="1" xfId="267" applyNumberFormat="1" applyFont="1" applyFill="1" applyBorder="1" applyAlignment="1">
      <alignment horizontal="center" vertical="center"/>
    </xf>
    <xf numFmtId="0" fontId="16" fillId="7" borderId="9" xfId="0" applyFont="1" applyFill="1" applyBorder="1" applyAlignment="1">
      <alignment horizontal="center" vertical="center" wrapText="1"/>
    </xf>
    <xf numFmtId="0" fontId="3" fillId="15" borderId="87" xfId="199" applyFont="1" applyFill="1" applyBorder="1" applyAlignment="1">
      <alignment horizontal="center" vertical="center" wrapText="1"/>
    </xf>
    <xf numFmtId="0" fontId="3" fillId="15" borderId="89" xfId="199" applyFont="1" applyFill="1" applyBorder="1" applyAlignment="1">
      <alignment horizontal="center" vertical="center" wrapText="1"/>
    </xf>
    <xf numFmtId="0" fontId="3" fillId="15" borderId="8" xfId="199" applyFont="1" applyFill="1" applyBorder="1" applyAlignment="1">
      <alignment horizontal="center" vertical="center" wrapText="1"/>
    </xf>
    <xf numFmtId="0" fontId="3" fillId="15" borderId="86" xfId="199" applyFont="1" applyFill="1" applyBorder="1" applyAlignment="1">
      <alignment horizontal="center" vertical="center" wrapText="1"/>
    </xf>
    <xf numFmtId="188" fontId="3" fillId="15" borderId="8" xfId="199" applyNumberFormat="1" applyFont="1" applyFill="1" applyBorder="1" applyAlignment="1">
      <alignment horizontal="center" vertical="center" wrapText="1"/>
    </xf>
    <xf numFmtId="0" fontId="3" fillId="15" borderId="4" xfId="199" applyFont="1" applyFill="1" applyBorder="1" applyAlignment="1">
      <alignment horizontal="center" vertical="center" wrapText="1"/>
    </xf>
    <xf numFmtId="188" fontId="3" fillId="15" borderId="1" xfId="199" applyNumberFormat="1" applyFont="1" applyFill="1" applyBorder="1" applyAlignment="1">
      <alignment horizontal="center" vertical="center" wrapText="1"/>
    </xf>
    <xf numFmtId="188" fontId="16" fillId="2" borderId="1" xfId="268" applyNumberFormat="1" applyFont="1" applyFill="1" applyBorder="1" applyAlignment="1">
      <alignment horizontal="center" vertical="center"/>
    </xf>
    <xf numFmtId="188" fontId="16" fillId="2" borderId="1" xfId="267" applyNumberFormat="1" applyFont="1" applyFill="1" applyBorder="1" applyAlignment="1">
      <alignment horizontal="center" vertical="center"/>
    </xf>
    <xf numFmtId="0" fontId="16" fillId="2" borderId="1" xfId="267" applyNumberFormat="1" applyFont="1" applyFill="1" applyBorder="1" applyAlignment="1">
      <alignment horizontal="center" vertical="center"/>
    </xf>
    <xf numFmtId="188" fontId="38" fillId="2" borderId="2" xfId="267" applyNumberFormat="1" applyFont="1" applyFill="1" applyBorder="1" applyAlignment="1">
      <alignment horizontal="center" vertical="center"/>
    </xf>
    <xf numFmtId="0" fontId="38" fillId="2" borderId="2" xfId="268" applyFont="1" applyFill="1" applyBorder="1" applyAlignment="1">
      <alignment horizontal="center" vertical="center"/>
    </xf>
    <xf numFmtId="0" fontId="38" fillId="2" borderId="1" xfId="268" applyFont="1" applyFill="1" applyBorder="1" applyAlignment="1">
      <alignment horizontal="center" vertical="center"/>
    </xf>
    <xf numFmtId="0" fontId="16" fillId="2" borderId="2" xfId="268" applyNumberFormat="1" applyFont="1" applyFill="1" applyBorder="1" applyAlignment="1">
      <alignment horizontal="center" vertical="center"/>
    </xf>
    <xf numFmtId="188" fontId="16" fillId="2" borderId="2" xfId="267" applyNumberFormat="1" applyFont="1" applyFill="1" applyBorder="1" applyAlignment="1">
      <alignment horizontal="center" vertical="center"/>
    </xf>
    <xf numFmtId="0" fontId="16" fillId="2" borderId="2" xfId="268" applyFont="1" applyFill="1" applyBorder="1" applyAlignment="1">
      <alignment horizontal="center" vertical="center" wrapText="1"/>
    </xf>
    <xf numFmtId="0" fontId="39" fillId="2" borderId="1" xfId="273" applyFont="1" applyFill="1" applyBorder="1" applyAlignment="1">
      <alignment horizontal="center" vertical="center"/>
    </xf>
    <xf numFmtId="17" fontId="16" fillId="2" borderId="1" xfId="267" applyNumberFormat="1" applyFont="1" applyFill="1" applyBorder="1" applyAlignment="1">
      <alignment horizontal="center" vertical="center"/>
    </xf>
    <xf numFmtId="0" fontId="3" fillId="15" borderId="8" xfId="199" applyFont="1" applyFill="1" applyBorder="1" applyAlignment="1">
      <alignment horizontal="center" vertical="center"/>
    </xf>
    <xf numFmtId="0" fontId="3" fillId="15" borderId="1" xfId="199" applyFont="1" applyFill="1" applyBorder="1" applyAlignment="1">
      <alignment horizontal="center" vertical="center"/>
    </xf>
    <xf numFmtId="0" fontId="16" fillId="2" borderId="1" xfId="268" applyFont="1" applyFill="1" applyBorder="1" applyAlignment="1">
      <alignment horizontal="center" vertical="center" wrapText="1"/>
    </xf>
    <xf numFmtId="0" fontId="39" fillId="2" borderId="1" xfId="273" applyFont="1" applyFill="1" applyBorder="1" applyAlignment="1">
      <alignment horizontal="center" vertical="center" wrapText="1"/>
    </xf>
    <xf numFmtId="0" fontId="39" fillId="2" borderId="1" xfId="267" applyFont="1" applyFill="1" applyBorder="1" applyAlignment="1">
      <alignment horizontal="center" vertical="center"/>
    </xf>
    <xf numFmtId="0" fontId="16" fillId="2" borderId="1" xfId="273" applyFont="1" applyFill="1" applyBorder="1" applyAlignment="1">
      <alignment horizontal="center" vertical="center"/>
    </xf>
    <xf numFmtId="0" fontId="3" fillId="15" borderId="78" xfId="199" applyFont="1" applyFill="1" applyBorder="1" applyAlignment="1">
      <alignment horizontal="center" vertical="center" wrapText="1"/>
    </xf>
    <xf numFmtId="192" fontId="3" fillId="15" borderId="1" xfId="199" applyNumberFormat="1" applyFont="1" applyFill="1" applyBorder="1" applyAlignment="1">
      <alignment horizontal="center" vertical="center" wrapText="1"/>
    </xf>
    <xf numFmtId="0" fontId="3" fillId="15" borderId="82" xfId="199" applyFont="1" applyFill="1" applyBorder="1" applyAlignment="1">
      <alignment horizontal="center" vertical="center"/>
    </xf>
    <xf numFmtId="192" fontId="16" fillId="2" borderId="1" xfId="268" applyNumberFormat="1" applyFont="1" applyFill="1" applyBorder="1" applyAlignment="1">
      <alignment horizontal="center" vertical="center"/>
    </xf>
    <xf numFmtId="0" fontId="16" fillId="2" borderId="3" xfId="200" applyFont="1" applyFill="1" applyBorder="1" applyAlignment="1">
      <alignment horizontal="center" vertical="center" wrapText="1"/>
    </xf>
    <xf numFmtId="0" fontId="16" fillId="2" borderId="3" xfId="200" applyFont="1" applyFill="1" applyBorder="1" applyAlignment="1">
      <alignment horizontal="center" vertical="center"/>
    </xf>
    <xf numFmtId="0" fontId="16" fillId="2" borderId="94" xfId="0" applyFont="1" applyFill="1" applyBorder="1" applyAlignment="1">
      <alignment horizontal="center" vertical="center" wrapText="1"/>
    </xf>
    <xf numFmtId="0" fontId="36" fillId="2" borderId="0" xfId="0" applyFont="1" applyFill="1">
      <alignment vertical="center"/>
    </xf>
    <xf numFmtId="0" fontId="38" fillId="2" borderId="1" xfId="268" applyFont="1" applyFill="1" applyBorder="1" applyAlignment="1">
      <alignment horizontal="center" vertical="center" wrapText="1"/>
    </xf>
    <xf numFmtId="0" fontId="16" fillId="2" borderId="4" xfId="200" applyFont="1" applyFill="1" applyBorder="1" applyAlignment="1">
      <alignment horizontal="center" vertical="center" wrapText="1"/>
    </xf>
    <xf numFmtId="0" fontId="16" fillId="2" borderId="4" xfId="200" applyFont="1" applyFill="1" applyBorder="1" applyAlignment="1">
      <alignment horizontal="center" vertical="center"/>
    </xf>
    <xf numFmtId="0" fontId="16" fillId="2" borderId="95" xfId="0" applyFont="1" applyFill="1" applyBorder="1" applyAlignment="1">
      <alignment horizontal="center" vertical="center" wrapText="1"/>
    </xf>
    <xf numFmtId="0" fontId="16" fillId="2" borderId="2" xfId="199" applyFont="1" applyFill="1" applyBorder="1" applyAlignment="1">
      <alignment horizontal="center" vertical="center" wrapText="1"/>
    </xf>
    <xf numFmtId="0" fontId="16" fillId="2" borderId="96" xfId="0" applyFont="1" applyFill="1" applyBorder="1" applyAlignment="1">
      <alignment horizontal="center" vertical="center" wrapText="1"/>
    </xf>
    <xf numFmtId="0" fontId="16" fillId="2" borderId="3" xfId="199" applyFont="1" applyFill="1" applyBorder="1" applyAlignment="1">
      <alignment horizontal="center" vertical="center" wrapText="1"/>
    </xf>
    <xf numFmtId="0" fontId="16" fillId="2" borderId="3" xfId="0" applyFont="1" applyFill="1" applyBorder="1" applyAlignment="1">
      <alignment horizontal="center" vertical="center" wrapText="1"/>
    </xf>
    <xf numFmtId="0" fontId="38" fillId="2" borderId="1" xfId="267" applyFont="1" applyFill="1" applyBorder="1" applyAlignment="1">
      <alignment horizontal="center" vertical="center" wrapText="1"/>
    </xf>
    <xf numFmtId="0" fontId="16" fillId="2" borderId="4" xfId="199" applyFont="1" applyFill="1" applyBorder="1" applyAlignment="1">
      <alignment horizontal="center" vertical="center" wrapText="1"/>
    </xf>
    <xf numFmtId="0" fontId="16" fillId="2" borderId="4" xfId="0" applyFont="1" applyFill="1" applyBorder="1" applyAlignment="1">
      <alignment horizontal="center" vertical="center" wrapText="1"/>
    </xf>
    <xf numFmtId="0" fontId="38" fillId="2" borderId="2" xfId="268" applyFont="1" applyFill="1" applyBorder="1" applyAlignment="1">
      <alignment horizontal="center" vertical="center" wrapText="1"/>
    </xf>
    <xf numFmtId="0" fontId="3" fillId="0" borderId="3" xfId="200" applyFont="1" applyFill="1" applyBorder="1" applyAlignment="1">
      <alignment horizontal="center" vertical="center" wrapText="1"/>
    </xf>
    <xf numFmtId="192" fontId="16" fillId="2" borderId="1" xfId="267" applyNumberFormat="1" applyFont="1" applyFill="1" applyBorder="1" applyAlignment="1">
      <alignment horizontal="center" vertical="center"/>
    </xf>
    <xf numFmtId="0" fontId="16" fillId="2" borderId="2" xfId="199" applyFont="1" applyFill="1" applyBorder="1" applyAlignment="1">
      <alignment horizontal="center" vertical="center"/>
    </xf>
    <xf numFmtId="0" fontId="40" fillId="2" borderId="96" xfId="199" applyFont="1" applyFill="1" applyBorder="1" applyAlignment="1">
      <alignment horizontal="center"/>
    </xf>
    <xf numFmtId="0" fontId="16" fillId="2" borderId="3" xfId="199" applyFont="1" applyFill="1" applyBorder="1" applyAlignment="1">
      <alignment horizontal="center" vertical="center"/>
    </xf>
    <xf numFmtId="0" fontId="40" fillId="2" borderId="94" xfId="199" applyFont="1" applyFill="1" applyBorder="1" applyAlignment="1">
      <alignment horizontal="center"/>
    </xf>
    <xf numFmtId="0" fontId="16" fillId="2" borderId="4" xfId="199" applyFont="1" applyFill="1" applyBorder="1" applyAlignment="1">
      <alignment horizontal="center" vertical="center"/>
    </xf>
    <xf numFmtId="0" fontId="40" fillId="2" borderId="95" xfId="199" applyFont="1" applyFill="1" applyBorder="1" applyAlignment="1">
      <alignment horizontal="center"/>
    </xf>
    <xf numFmtId="0" fontId="38" fillId="2" borderId="1" xfId="273" applyFont="1" applyFill="1" applyBorder="1" applyAlignment="1">
      <alignment horizontal="center" vertical="center" wrapText="1"/>
    </xf>
    <xf numFmtId="0" fontId="36" fillId="2" borderId="3" xfId="0" applyFont="1" applyFill="1" applyBorder="1" applyAlignment="1">
      <alignment horizontal="center" vertical="center"/>
    </xf>
    <xf numFmtId="0" fontId="36" fillId="2" borderId="94" xfId="0" applyFont="1" applyFill="1" applyBorder="1" applyAlignment="1">
      <alignment horizontal="center"/>
    </xf>
    <xf numFmtId="0" fontId="36" fillId="2" borderId="95" xfId="0" applyFont="1" applyFill="1" applyBorder="1" applyAlignment="1">
      <alignment horizontal="center"/>
    </xf>
    <xf numFmtId="0" fontId="16" fillId="7" borderId="6" xfId="0" applyFont="1" applyFill="1" applyBorder="1" applyAlignment="1">
      <alignment horizontal="center" vertical="center" wrapText="1"/>
    </xf>
    <xf numFmtId="0" fontId="16" fillId="30" borderId="6" xfId="0" applyFont="1" applyFill="1" applyBorder="1" applyAlignment="1">
      <alignment horizontal="center" vertical="center" wrapText="1"/>
    </xf>
    <xf numFmtId="0" fontId="16" fillId="18" borderId="1" xfId="0" applyFont="1" applyFill="1" applyBorder="1" applyAlignment="1">
      <alignment horizontal="center" vertical="center" wrapText="1"/>
    </xf>
    <xf numFmtId="0" fontId="3" fillId="29" borderId="0" xfId="0" applyFont="1" applyFill="1" applyAlignment="1">
      <alignment horizontal="center" vertical="center"/>
    </xf>
    <xf numFmtId="0" fontId="11" fillId="2" borderId="97" xfId="18" applyFont="1" applyFill="1" applyBorder="1" applyAlignment="1">
      <alignment horizontal="left" vertical="center" wrapText="1"/>
    </xf>
    <xf numFmtId="0" fontId="11" fillId="2" borderId="98" xfId="18" applyFont="1" applyFill="1" applyBorder="1" applyAlignment="1">
      <alignment horizontal="left" vertical="center" wrapText="1"/>
    </xf>
    <xf numFmtId="0" fontId="11" fillId="2" borderId="99" xfId="18" applyFont="1" applyFill="1" applyBorder="1" applyAlignment="1">
      <alignment horizontal="left" vertical="center" wrapText="1"/>
    </xf>
    <xf numFmtId="0" fontId="11" fillId="2" borderId="0" xfId="18" applyFont="1" applyFill="1" applyBorder="1" applyAlignment="1">
      <alignment horizontal="left" vertical="center" wrapText="1"/>
    </xf>
    <xf numFmtId="0" fontId="11" fillId="2" borderId="100" xfId="18" applyFont="1" applyFill="1" applyBorder="1" applyAlignment="1">
      <alignment horizontal="left" vertical="center" wrapText="1"/>
    </xf>
    <xf numFmtId="0" fontId="11" fillId="2" borderId="101" xfId="18" applyFont="1" applyFill="1" applyBorder="1" applyAlignment="1">
      <alignment horizontal="left" vertical="center" wrapText="1"/>
    </xf>
    <xf numFmtId="0" fontId="11" fillId="0" borderId="97" xfId="199" applyFont="1" applyBorder="1" applyAlignment="1">
      <alignment horizontal="center" vertical="center"/>
    </xf>
    <xf numFmtId="0" fontId="11" fillId="0" borderId="98" xfId="199" applyFont="1" applyBorder="1" applyAlignment="1">
      <alignment horizontal="center" vertical="center"/>
    </xf>
    <xf numFmtId="0" fontId="11" fillId="0" borderId="102" xfId="199" applyFont="1" applyBorder="1" applyAlignment="1">
      <alignment horizontal="center" vertical="center"/>
    </xf>
    <xf numFmtId="0" fontId="11" fillId="0" borderId="103" xfId="199" applyFont="1" applyBorder="1" applyAlignment="1">
      <alignment horizontal="center" vertical="center"/>
    </xf>
    <xf numFmtId="0" fontId="11" fillId="0" borderId="104" xfId="199" applyFont="1" applyBorder="1" applyAlignment="1">
      <alignment horizontal="center" vertical="center"/>
    </xf>
    <xf numFmtId="0" fontId="11" fillId="0" borderId="105" xfId="199" applyFont="1" applyBorder="1" applyAlignment="1">
      <alignment horizontal="center" vertical="center"/>
    </xf>
    <xf numFmtId="0" fontId="11" fillId="0" borderId="91" xfId="199" applyFont="1" applyBorder="1" applyAlignment="1">
      <alignment horizontal="center" vertical="center"/>
    </xf>
    <xf numFmtId="0" fontId="11" fillId="0" borderId="90" xfId="199" applyFont="1" applyBorder="1" applyAlignment="1">
      <alignment horizontal="center" vertical="center"/>
    </xf>
    <xf numFmtId="0" fontId="11" fillId="0" borderId="1" xfId="199" applyFont="1" applyBorder="1" applyAlignment="1">
      <alignment horizontal="center" vertical="center"/>
    </xf>
    <xf numFmtId="0" fontId="11" fillId="0" borderId="82" xfId="199" applyFont="1" applyBorder="1" applyAlignment="1">
      <alignment horizontal="center" vertical="center"/>
    </xf>
    <xf numFmtId="0" fontId="11" fillId="0" borderId="93" xfId="199" applyFont="1" applyBorder="1" applyAlignment="1">
      <alignment horizontal="center" vertical="center"/>
    </xf>
    <xf numFmtId="0" fontId="11" fillId="0" borderId="6" xfId="199" applyFont="1" applyBorder="1" applyAlignment="1">
      <alignment horizontal="center" vertical="center"/>
    </xf>
    <xf numFmtId="0" fontId="11" fillId="0" borderId="81" xfId="199" applyFont="1" applyBorder="1" applyAlignment="1">
      <alignment horizontal="center" vertical="center" wrapText="1"/>
    </xf>
    <xf numFmtId="0" fontId="11" fillId="0" borderId="12" xfId="199" applyFont="1" applyBorder="1" applyAlignment="1">
      <alignment horizontal="center" vertical="center" wrapText="1"/>
    </xf>
    <xf numFmtId="9" fontId="11" fillId="0" borderId="82" xfId="199" applyNumberFormat="1" applyFont="1" applyBorder="1" applyAlignment="1">
      <alignment horizontal="center" vertical="center"/>
    </xf>
    <xf numFmtId="0" fontId="11" fillId="0" borderId="83" xfId="199" applyFont="1" applyBorder="1" applyAlignment="1">
      <alignment horizontal="center" vertical="center" wrapText="1"/>
    </xf>
    <xf numFmtId="0" fontId="11" fillId="0" borderId="106" xfId="199" applyFont="1" applyBorder="1" applyAlignment="1">
      <alignment horizontal="center" vertical="center" wrapText="1"/>
    </xf>
    <xf numFmtId="0" fontId="11" fillId="0" borderId="84" xfId="199" applyFont="1" applyBorder="1" applyAlignment="1">
      <alignment horizontal="center" vertical="center"/>
    </xf>
    <xf numFmtId="9" fontId="11" fillId="0" borderId="85" xfId="199" applyNumberFormat="1" applyFont="1" applyBorder="1" applyAlignment="1">
      <alignment horizontal="center" vertical="center"/>
    </xf>
    <xf numFmtId="0" fontId="1" fillId="0" borderId="0" xfId="18"/>
    <xf numFmtId="0" fontId="28" fillId="2" borderId="81" xfId="199" applyFont="1" applyFill="1" applyBorder="1" applyAlignment="1">
      <alignment horizontal="center"/>
    </xf>
    <xf numFmtId="0" fontId="28" fillId="2" borderId="12" xfId="199" applyFont="1" applyFill="1" applyBorder="1" applyAlignment="1">
      <alignment horizontal="center"/>
    </xf>
    <xf numFmtId="0" fontId="28" fillId="2" borderId="1" xfId="199" applyFont="1" applyFill="1" applyBorder="1" applyAlignment="1">
      <alignment horizontal="center"/>
    </xf>
    <xf numFmtId="0" fontId="41" fillId="2" borderId="1" xfId="199" applyFont="1" applyFill="1" applyBorder="1" applyAlignment="1">
      <alignment horizontal="center"/>
    </xf>
    <xf numFmtId="0" fontId="28" fillId="2" borderId="83" xfId="199" applyFont="1" applyFill="1" applyBorder="1" applyAlignment="1">
      <alignment horizontal="center"/>
    </xf>
    <xf numFmtId="0" fontId="28" fillId="2" borderId="106" xfId="199" applyFont="1" applyFill="1" applyBorder="1" applyAlignment="1">
      <alignment horizontal="center"/>
    </xf>
    <xf numFmtId="0" fontId="28" fillId="2" borderId="84" xfId="199" applyFont="1" applyFill="1" applyBorder="1" applyAlignment="1">
      <alignment horizontal="center"/>
    </xf>
    <xf numFmtId="0" fontId="11" fillId="2" borderId="102" xfId="18" applyFont="1" applyFill="1" applyBorder="1" applyAlignment="1">
      <alignment horizontal="left" vertical="center" wrapText="1"/>
    </xf>
    <xf numFmtId="0" fontId="11" fillId="2" borderId="107" xfId="18" applyFont="1" applyFill="1" applyBorder="1" applyAlignment="1">
      <alignment horizontal="left" vertical="center" wrapText="1"/>
    </xf>
    <xf numFmtId="0" fontId="11" fillId="2" borderId="108" xfId="18" applyFont="1" applyFill="1" applyBorder="1" applyAlignment="1">
      <alignment horizontal="left" vertical="center" wrapText="1"/>
    </xf>
    <xf numFmtId="10" fontId="1" fillId="0" borderId="0" xfId="18" applyNumberFormat="1" applyAlignment="1">
      <alignment horizontal="center"/>
    </xf>
    <xf numFmtId="9" fontId="1" fillId="0" borderId="0" xfId="18" applyNumberFormat="1" applyAlignment="1">
      <alignment horizontal="center"/>
    </xf>
    <xf numFmtId="0" fontId="1" fillId="0" borderId="0" xfId="18" applyAlignment="1">
      <alignment horizontal="center"/>
    </xf>
    <xf numFmtId="0" fontId="11" fillId="0" borderId="0" xfId="199" applyFont="1" applyBorder="1" applyAlignment="1">
      <alignment horizontal="center" vertical="center"/>
    </xf>
    <xf numFmtId="0" fontId="28" fillId="2" borderId="82" xfId="199" applyFont="1" applyFill="1" applyBorder="1" applyAlignment="1">
      <alignment horizontal="center"/>
    </xf>
    <xf numFmtId="0" fontId="28" fillId="2" borderId="0" xfId="199" applyFont="1" applyFill="1" applyBorder="1" applyAlignment="1">
      <alignment horizontal="center"/>
    </xf>
    <xf numFmtId="187" fontId="41" fillId="2" borderId="82" xfId="199" applyNumberFormat="1" applyFont="1" applyFill="1" applyBorder="1" applyAlignment="1">
      <alignment horizontal="center"/>
    </xf>
    <xf numFmtId="187" fontId="11" fillId="2" borderId="1" xfId="199" applyNumberFormat="1" applyFont="1" applyFill="1" applyBorder="1" applyAlignment="1">
      <alignment horizontal="center"/>
    </xf>
    <xf numFmtId="187" fontId="11" fillId="2" borderId="0" xfId="199" applyNumberFormat="1" applyFont="1" applyFill="1" applyBorder="1" applyAlignment="1">
      <alignment horizontal="center"/>
    </xf>
    <xf numFmtId="187" fontId="41" fillId="2" borderId="85" xfId="199" applyNumberFormat="1" applyFont="1" applyFill="1" applyBorder="1" applyAlignment="1">
      <alignment horizontal="center"/>
    </xf>
    <xf numFmtId="187" fontId="11" fillId="2" borderId="84" xfId="199" applyNumberFormat="1" applyFont="1" applyFill="1" applyBorder="1" applyAlignment="1">
      <alignment horizontal="center"/>
    </xf>
    <xf numFmtId="0" fontId="16" fillId="2" borderId="2" xfId="269" applyFont="1" applyFill="1" applyBorder="1" applyAlignment="1">
      <alignment horizontal="center" vertical="center"/>
    </xf>
    <xf numFmtId="0" fontId="16" fillId="2" borderId="2" xfId="269" applyFont="1" applyFill="1" applyBorder="1" applyAlignment="1">
      <alignment horizontal="center" vertical="center" wrapText="1"/>
    </xf>
    <xf numFmtId="0" fontId="40" fillId="2" borderId="82" xfId="199" applyFont="1" applyFill="1" applyBorder="1" applyAlignment="1">
      <alignment horizontal="center"/>
    </xf>
    <xf numFmtId="0" fontId="0" fillId="14" borderId="0" xfId="0" applyFill="1">
      <alignment vertical="center"/>
    </xf>
    <xf numFmtId="0" fontId="11" fillId="15" borderId="1" xfId="234" applyFont="1" applyFill="1" applyBorder="1" applyAlignment="1">
      <alignment horizontal="center" vertical="center"/>
    </xf>
    <xf numFmtId="0" fontId="3" fillId="15" borderId="1" xfId="200" applyFont="1" applyFill="1" applyBorder="1" applyAlignment="1">
      <alignment horizontal="center" vertical="center"/>
    </xf>
    <xf numFmtId="0" fontId="11" fillId="13" borderId="2" xfId="234" applyFont="1" applyFill="1" applyBorder="1" applyAlignment="1">
      <alignment horizontal="center" vertical="center"/>
    </xf>
    <xf numFmtId="0" fontId="11" fillId="8" borderId="1" xfId="234" applyFont="1" applyFill="1" applyBorder="1" applyAlignment="1">
      <alignment horizontal="center" vertical="center"/>
    </xf>
    <xf numFmtId="10" fontId="11" fillId="0" borderId="1" xfId="0" applyNumberFormat="1" applyFont="1" applyBorder="1" applyAlignment="1">
      <alignment horizontal="center" vertical="center"/>
    </xf>
    <xf numFmtId="0" fontId="11" fillId="2" borderId="1" xfId="234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center" vertical="center"/>
    </xf>
    <xf numFmtId="193" fontId="34" fillId="2" borderId="1" xfId="0" applyNumberFormat="1" applyFont="1" applyFill="1" applyBorder="1" applyAlignment="1">
      <alignment horizontal="center" vertical="center"/>
    </xf>
    <xf numFmtId="0" fontId="11" fillId="2" borderId="2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wrapText="1" readingOrder="1"/>
    </xf>
    <xf numFmtId="0" fontId="11" fillId="13" borderId="3" xfId="234" applyFont="1" applyFill="1" applyBorder="1" applyAlignment="1">
      <alignment horizontal="center" vertical="center"/>
    </xf>
    <xf numFmtId="0" fontId="11" fillId="0" borderId="1" xfId="234" applyFont="1" applyBorder="1" applyAlignment="1">
      <alignment horizontal="center" vertical="center"/>
    </xf>
    <xf numFmtId="0" fontId="11" fillId="2" borderId="3" xfId="0" applyFont="1" applyFill="1" applyBorder="1" applyAlignment="1">
      <alignment horizontal="center" vertical="center"/>
    </xf>
    <xf numFmtId="9" fontId="11" fillId="0" borderId="1" xfId="0" applyNumberFormat="1" applyFont="1" applyBorder="1" applyAlignment="1">
      <alignment horizontal="center" vertical="center"/>
    </xf>
    <xf numFmtId="0" fontId="11" fillId="13" borderId="4" xfId="234" applyFont="1" applyFill="1" applyBorder="1" applyAlignment="1">
      <alignment horizontal="center" vertical="center"/>
    </xf>
    <xf numFmtId="185" fontId="35" fillId="2" borderId="1" xfId="0" applyNumberFormat="1" applyFont="1" applyFill="1" applyBorder="1" applyAlignment="1">
      <alignment horizontal="center" vertical="center"/>
    </xf>
    <xf numFmtId="0" fontId="35" fillId="2" borderId="1" xfId="0" applyFont="1" applyFill="1" applyBorder="1" applyAlignment="1">
      <alignment horizontal="center" vertical="center"/>
    </xf>
    <xf numFmtId="0" fontId="11" fillId="3" borderId="2" xfId="234" applyFont="1" applyFill="1" applyBorder="1" applyAlignment="1">
      <alignment horizontal="center" vertical="center"/>
    </xf>
    <xf numFmtId="0" fontId="42" fillId="2" borderId="1" xfId="0" applyFont="1" applyFill="1" applyBorder="1" applyAlignment="1">
      <alignment horizontal="center" vertical="center"/>
    </xf>
    <xf numFmtId="185" fontId="42" fillId="2" borderId="1" xfId="0" applyNumberFormat="1" applyFont="1" applyFill="1" applyBorder="1" applyAlignment="1">
      <alignment horizontal="center" vertical="center"/>
    </xf>
    <xf numFmtId="193" fontId="42" fillId="2" borderId="1" xfId="0" applyNumberFormat="1" applyFont="1" applyFill="1" applyBorder="1" applyAlignment="1">
      <alignment horizontal="center" vertical="center"/>
    </xf>
    <xf numFmtId="0" fontId="11" fillId="2" borderId="2" xfId="0" applyFont="1" applyFill="1" applyBorder="1" applyAlignment="1">
      <alignment horizontal="center" vertical="center" wrapText="1"/>
    </xf>
    <xf numFmtId="0" fontId="11" fillId="3" borderId="3" xfId="234" applyFont="1" applyFill="1" applyBorder="1" applyAlignment="1">
      <alignment horizontal="center" vertical="center"/>
    </xf>
    <xf numFmtId="0" fontId="11" fillId="2" borderId="3" xfId="0" applyFont="1" applyFill="1" applyBorder="1" applyAlignment="1">
      <alignment horizontal="center" vertical="center" wrapText="1"/>
    </xf>
    <xf numFmtId="185" fontId="11" fillId="2" borderId="1" xfId="0" applyNumberFormat="1" applyFont="1" applyFill="1" applyBorder="1" applyAlignment="1">
      <alignment horizontal="center" vertical="center"/>
    </xf>
    <xf numFmtId="0" fontId="11" fillId="3" borderId="4" xfId="234" applyFont="1" applyFill="1" applyBorder="1" applyAlignment="1">
      <alignment horizontal="center" vertical="center"/>
    </xf>
    <xf numFmtId="0" fontId="11" fillId="2" borderId="4" xfId="0" applyFont="1" applyFill="1" applyBorder="1" applyAlignment="1">
      <alignment horizontal="center" vertical="center" wrapText="1"/>
    </xf>
    <xf numFmtId="0" fontId="11" fillId="17" borderId="1" xfId="234" applyFont="1" applyFill="1" applyBorder="1" applyAlignment="1">
      <alignment horizontal="center" vertical="center"/>
    </xf>
    <xf numFmtId="0" fontId="34" fillId="2" borderId="1" xfId="0" applyFont="1" applyFill="1" applyBorder="1" applyAlignment="1">
      <alignment horizontal="center" vertical="center"/>
    </xf>
    <xf numFmtId="0" fontId="11" fillId="2" borderId="4" xfId="0" applyFont="1" applyFill="1" applyBorder="1" applyAlignment="1">
      <alignment horizontal="center" vertical="center"/>
    </xf>
    <xf numFmtId="0" fontId="34" fillId="12" borderId="17" xfId="0" applyFont="1" applyFill="1" applyBorder="1" applyAlignment="1">
      <alignment horizontal="center" vertical="center"/>
    </xf>
    <xf numFmtId="0" fontId="11" fillId="0" borderId="0" xfId="234" applyFont="1" applyAlignment="1">
      <alignment horizontal="center" vertical="center"/>
    </xf>
    <xf numFmtId="0" fontId="11" fillId="10" borderId="0" xfId="0" applyFont="1" applyFill="1" applyAlignment="1">
      <alignment horizontal="center" vertical="center"/>
    </xf>
    <xf numFmtId="0" fontId="11" fillId="31" borderId="0" xfId="0" applyFont="1" applyFill="1" applyAlignment="1">
      <alignment horizontal="left" vertical="center" wrapText="1"/>
    </xf>
    <xf numFmtId="0" fontId="0" fillId="0" borderId="0" xfId="0" applyAlignment="1"/>
    <xf numFmtId="0" fontId="3" fillId="10" borderId="0" xfId="0" applyFont="1" applyFill="1" applyAlignment="1">
      <alignment horizontal="center" vertical="center"/>
    </xf>
    <xf numFmtId="0" fontId="3" fillId="31" borderId="0" xfId="0" applyFont="1" applyFill="1" applyAlignment="1">
      <alignment horizontal="left" vertical="center"/>
    </xf>
    <xf numFmtId="0" fontId="11" fillId="0" borderId="2" xfId="234" applyFont="1" applyBorder="1" applyAlignment="1">
      <alignment horizontal="center" vertical="center" wrapText="1"/>
    </xf>
    <xf numFmtId="0" fontId="11" fillId="0" borderId="1" xfId="234" applyFont="1" applyBorder="1" applyAlignment="1">
      <alignment horizontal="center" vertical="center" wrapText="1"/>
    </xf>
    <xf numFmtId="0" fontId="0" fillId="2" borderId="2" xfId="0" applyFont="1" applyFill="1" applyBorder="1" applyAlignment="1">
      <alignment horizontal="left" vertical="center" wrapText="1"/>
    </xf>
    <xf numFmtId="0" fontId="11" fillId="0" borderId="3" xfId="234" applyFont="1" applyBorder="1" applyAlignment="1">
      <alignment horizontal="center" vertical="center" wrapText="1"/>
    </xf>
    <xf numFmtId="0" fontId="0" fillId="2" borderId="3" xfId="0" applyFont="1" applyFill="1" applyBorder="1" applyAlignment="1">
      <alignment horizontal="left" vertical="center" wrapText="1"/>
    </xf>
    <xf numFmtId="0" fontId="29" fillId="2" borderId="4" xfId="0" applyFont="1" applyFill="1" applyBorder="1" applyAlignment="1">
      <alignment horizontal="left" vertical="center" wrapText="1"/>
    </xf>
    <xf numFmtId="0" fontId="11" fillId="2" borderId="2" xfId="0" applyFont="1" applyFill="1" applyBorder="1" applyAlignment="1">
      <alignment horizontal="left" vertical="center" wrapText="1"/>
    </xf>
    <xf numFmtId="0" fontId="11" fillId="2" borderId="3" xfId="0" applyFont="1" applyFill="1" applyBorder="1" applyAlignment="1">
      <alignment horizontal="left" vertical="center" wrapText="1"/>
    </xf>
    <xf numFmtId="0" fontId="11" fillId="0" borderId="4" xfId="234" applyFont="1" applyBorder="1" applyAlignment="1">
      <alignment horizontal="center" vertical="center" wrapText="1"/>
    </xf>
    <xf numFmtId="0" fontId="11" fillId="2" borderId="4" xfId="0" applyFont="1" applyFill="1" applyBorder="1" applyAlignment="1">
      <alignment horizontal="left" vertical="center" wrapText="1"/>
    </xf>
    <xf numFmtId="0" fontId="11" fillId="2" borderId="1" xfId="0" applyFont="1" applyFill="1" applyBorder="1" applyAlignment="1">
      <alignment horizontal="center" vertical="center" wrapText="1"/>
    </xf>
    <xf numFmtId="0" fontId="1" fillId="0" borderId="0" xfId="234"/>
    <xf numFmtId="0" fontId="43" fillId="0" borderId="0" xfId="0" applyFont="1" applyFill="1">
      <alignment vertical="center"/>
    </xf>
    <xf numFmtId="0" fontId="43" fillId="14" borderId="0" xfId="0" applyFont="1" applyFill="1">
      <alignment vertical="center"/>
    </xf>
    <xf numFmtId="0" fontId="11" fillId="15" borderId="1" xfId="227" applyFont="1" applyFill="1" applyBorder="1" applyAlignment="1">
      <alignment horizontal="center" vertical="center"/>
    </xf>
    <xf numFmtId="0" fontId="35" fillId="11" borderId="18" xfId="0" applyFont="1" applyFill="1" applyBorder="1" applyAlignment="1">
      <alignment horizontal="center" vertical="center"/>
    </xf>
    <xf numFmtId="0" fontId="35" fillId="2" borderId="109" xfId="0" applyFont="1" applyFill="1" applyBorder="1" applyAlignment="1">
      <alignment horizontal="center" vertical="center"/>
    </xf>
    <xf numFmtId="9" fontId="11" fillId="2" borderId="1" xfId="0" applyNumberFormat="1" applyFont="1" applyFill="1" applyBorder="1" applyAlignment="1">
      <alignment horizontal="center" vertical="center"/>
    </xf>
    <xf numFmtId="10" fontId="11" fillId="2" borderId="1" xfId="0" applyNumberFormat="1" applyFont="1" applyFill="1" applyBorder="1" applyAlignment="1">
      <alignment horizontal="center" vertical="center"/>
    </xf>
    <xf numFmtId="0" fontId="35" fillId="2" borderId="2" xfId="227" applyFont="1" applyFill="1" applyBorder="1" applyAlignment="1">
      <alignment horizontal="center" vertical="center"/>
    </xf>
    <xf numFmtId="0" fontId="35" fillId="11" borderId="71" xfId="0" applyFont="1" applyFill="1" applyBorder="1" applyAlignment="1">
      <alignment horizontal="center" vertical="center"/>
    </xf>
    <xf numFmtId="0" fontId="35" fillId="2" borderId="3" xfId="227" applyFont="1" applyFill="1" applyBorder="1" applyAlignment="1">
      <alignment horizontal="center" vertical="center"/>
    </xf>
    <xf numFmtId="49" fontId="11" fillId="2" borderId="1" xfId="0" applyNumberFormat="1" applyFont="1" applyFill="1" applyBorder="1" applyAlignment="1">
      <alignment horizontal="center" vertical="center"/>
    </xf>
    <xf numFmtId="0" fontId="35" fillId="2" borderId="4" xfId="227" applyFont="1" applyFill="1" applyBorder="1" applyAlignment="1">
      <alignment horizontal="center" vertical="center"/>
    </xf>
    <xf numFmtId="0" fontId="35" fillId="8" borderId="72" xfId="0" applyFont="1" applyFill="1" applyBorder="1" applyAlignment="1">
      <alignment horizontal="center" vertical="center"/>
    </xf>
    <xf numFmtId="10" fontId="35" fillId="2" borderId="3" xfId="227" applyNumberFormat="1" applyFont="1" applyFill="1" applyBorder="1" applyAlignment="1">
      <alignment horizontal="center" vertical="center" wrapText="1"/>
    </xf>
    <xf numFmtId="0" fontId="35" fillId="8" borderId="19" xfId="0" applyFont="1" applyFill="1" applyBorder="1" applyAlignment="1">
      <alignment horizontal="center" vertical="center"/>
    </xf>
    <xf numFmtId="10" fontId="35" fillId="2" borderId="4" xfId="227" applyNumberFormat="1" applyFont="1" applyFill="1" applyBorder="1" applyAlignment="1">
      <alignment horizontal="center" vertical="center" wrapText="1"/>
    </xf>
    <xf numFmtId="0" fontId="35" fillId="2" borderId="1" xfId="227" applyFont="1" applyFill="1" applyBorder="1" applyAlignment="1">
      <alignment horizontal="center" vertical="center"/>
    </xf>
    <xf numFmtId="0" fontId="35" fillId="18" borderId="19" xfId="0" applyFont="1" applyFill="1" applyBorder="1" applyAlignment="1">
      <alignment horizontal="center" vertical="center"/>
    </xf>
    <xf numFmtId="0" fontId="11" fillId="29" borderId="27" xfId="0" applyFont="1" applyFill="1" applyBorder="1" applyAlignment="1">
      <alignment horizontal="center" vertical="center"/>
    </xf>
    <xf numFmtId="0" fontId="11" fillId="0" borderId="0" xfId="227" applyFont="1"/>
    <xf numFmtId="0" fontId="11" fillId="0" borderId="0" xfId="227" applyFont="1" applyAlignment="1">
      <alignment horizontal="center"/>
    </xf>
    <xf numFmtId="0" fontId="11" fillId="10" borderId="0" xfId="227" applyFont="1" applyFill="1" applyAlignment="1">
      <alignment horizontal="center" vertical="center"/>
    </xf>
    <xf numFmtId="0" fontId="11" fillId="31" borderId="0" xfId="227" applyFont="1" applyFill="1" applyAlignment="1">
      <alignment horizontal="left" vertical="center" wrapText="1"/>
    </xf>
    <xf numFmtId="0" fontId="35" fillId="0" borderId="1" xfId="227" applyFont="1" applyBorder="1" applyAlignment="1">
      <alignment horizontal="center" vertical="center"/>
    </xf>
    <xf numFmtId="0" fontId="35" fillId="2" borderId="2" xfId="0" applyFont="1" applyFill="1" applyBorder="1" applyAlignment="1">
      <alignment horizontal="center" vertical="center" wrapText="1"/>
    </xf>
    <xf numFmtId="0" fontId="35" fillId="2" borderId="1" xfId="0" applyFont="1" applyFill="1" applyBorder="1" applyAlignment="1">
      <alignment horizontal="center" vertical="center" wrapText="1"/>
    </xf>
    <xf numFmtId="0" fontId="35" fillId="2" borderId="24" xfId="0" applyFont="1" applyFill="1" applyBorder="1" applyAlignment="1">
      <alignment horizontal="center" vertical="center" wrapText="1"/>
    </xf>
    <xf numFmtId="0" fontId="35" fillId="2" borderId="3" xfId="0" applyFont="1" applyFill="1" applyBorder="1" applyAlignment="1">
      <alignment horizontal="center" vertical="center" wrapText="1"/>
    </xf>
    <xf numFmtId="49" fontId="35" fillId="2" borderId="1" xfId="0" applyNumberFormat="1" applyFont="1" applyFill="1" applyBorder="1" applyAlignment="1">
      <alignment horizontal="center" vertical="center" wrapText="1"/>
    </xf>
    <xf numFmtId="0" fontId="35" fillId="2" borderId="4" xfId="0" applyFont="1" applyFill="1" applyBorder="1" applyAlignment="1">
      <alignment horizontal="center" vertical="center" wrapText="1"/>
    </xf>
    <xf numFmtId="0" fontId="43" fillId="2" borderId="24" xfId="0" applyFont="1" applyFill="1" applyBorder="1" applyAlignment="1">
      <alignment horizontal="center" vertical="center"/>
    </xf>
    <xf numFmtId="0" fontId="35" fillId="14" borderId="1" xfId="0" applyFont="1" applyFill="1" applyBorder="1" applyAlignment="1">
      <alignment horizontal="center" vertical="center"/>
    </xf>
    <xf numFmtId="0" fontId="34" fillId="2" borderId="1" xfId="0" applyFont="1" applyFill="1" applyBorder="1" applyAlignment="1">
      <alignment horizontal="center" vertical="center" wrapText="1"/>
    </xf>
    <xf numFmtId="0" fontId="1" fillId="0" borderId="0" xfId="227"/>
    <xf numFmtId="0" fontId="11" fillId="0" borderId="0" xfId="0" applyFont="1">
      <alignment vertical="center"/>
    </xf>
    <xf numFmtId="0" fontId="0" fillId="32" borderId="0" xfId="0" applyFill="1" applyAlignment="1"/>
    <xf numFmtId="0" fontId="0" fillId="0" borderId="0" xfId="0" applyAlignment="1">
      <alignment horizontal="center" vertical="center"/>
    </xf>
    <xf numFmtId="0" fontId="44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188" fontId="0" fillId="0" borderId="0" xfId="0" applyNumberFormat="1" applyAlignment="1">
      <alignment vertical="center"/>
    </xf>
    <xf numFmtId="0" fontId="11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11" fillId="0" borderId="0" xfId="0" applyFont="1" applyAlignment="1">
      <alignment vertical="center"/>
    </xf>
    <xf numFmtId="0" fontId="11" fillId="0" borderId="1" xfId="0" applyFont="1" applyBorder="1" applyAlignment="1">
      <alignment horizontal="right" vertical="center"/>
    </xf>
    <xf numFmtId="188" fontId="11" fillId="30" borderId="1" xfId="0" applyNumberFormat="1" applyFont="1" applyFill="1" applyBorder="1" applyAlignment="1">
      <alignment horizontal="center" vertical="center"/>
    </xf>
    <xf numFmtId="0" fontId="3" fillId="15" borderId="110" xfId="220" applyFont="1" applyFill="1" applyBorder="1" applyAlignment="1">
      <alignment horizontal="center" vertical="center"/>
    </xf>
    <xf numFmtId="0" fontId="3" fillId="15" borderId="90" xfId="220" applyFont="1" applyFill="1" applyBorder="1" applyAlignment="1">
      <alignment horizontal="center" vertical="center"/>
    </xf>
    <xf numFmtId="0" fontId="3" fillId="15" borderId="2" xfId="220" applyFont="1" applyFill="1" applyBorder="1" applyAlignment="1">
      <alignment horizontal="center" vertical="center"/>
    </xf>
    <xf numFmtId="188" fontId="3" fillId="15" borderId="90" xfId="220" applyNumberFormat="1" applyFont="1" applyFill="1" applyBorder="1" applyAlignment="1">
      <alignment horizontal="center" vertical="center"/>
    </xf>
    <xf numFmtId="0" fontId="3" fillId="15" borderId="2" xfId="199" applyFont="1" applyFill="1" applyBorder="1" applyAlignment="1">
      <alignment horizontal="center" vertical="center"/>
    </xf>
    <xf numFmtId="0" fontId="11" fillId="0" borderId="111" xfId="0" applyFont="1" applyBorder="1" applyAlignment="1">
      <alignment horizontal="center" vertical="center"/>
    </xf>
    <xf numFmtId="0" fontId="11" fillId="0" borderId="112" xfId="0" applyFont="1" applyBorder="1" applyAlignment="1">
      <alignment horizontal="center" vertical="center" wrapText="1"/>
    </xf>
    <xf numFmtId="0" fontId="3" fillId="2" borderId="113" xfId="220" applyFont="1" applyFill="1" applyBorder="1" applyAlignment="1">
      <alignment horizontal="center" vertical="center" wrapText="1"/>
    </xf>
    <xf numFmtId="0" fontId="3" fillId="29" borderId="112" xfId="197" applyFont="1" applyFill="1" applyBorder="1" applyAlignment="1">
      <alignment horizontal="left" vertical="center" shrinkToFit="1"/>
    </xf>
    <xf numFmtId="0" fontId="6" fillId="2" borderId="113" xfId="197" applyFont="1" applyFill="1" applyBorder="1" applyAlignment="1">
      <alignment horizontal="center" vertical="center" shrinkToFit="1" readingOrder="1"/>
    </xf>
    <xf numFmtId="0" fontId="3" fillId="2" borderId="112" xfId="220" applyFont="1" applyFill="1" applyBorder="1" applyAlignment="1">
      <alignment horizontal="center" vertical="center"/>
    </xf>
    <xf numFmtId="194" fontId="19" fillId="2" borderId="112" xfId="220" applyNumberFormat="1" applyFont="1" applyFill="1" applyBorder="1" applyAlignment="1">
      <alignment horizontal="center" vertical="center"/>
    </xf>
    <xf numFmtId="2" fontId="3" fillId="2" borderId="112" xfId="199" applyNumberFormat="1" applyFont="1" applyFill="1" applyBorder="1" applyAlignment="1">
      <alignment horizontal="center" vertical="center"/>
    </xf>
    <xf numFmtId="0" fontId="11" fillId="0" borderId="114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 wrapText="1"/>
    </xf>
    <xf numFmtId="0" fontId="3" fillId="2" borderId="2" xfId="220" applyFont="1" applyFill="1" applyBorder="1" applyAlignment="1">
      <alignment horizontal="center" vertical="center" wrapText="1"/>
    </xf>
    <xf numFmtId="0" fontId="3" fillId="29" borderId="1" xfId="197" applyFont="1" applyFill="1" applyBorder="1" applyAlignment="1">
      <alignment horizontal="left" vertical="center" shrinkToFit="1"/>
    </xf>
    <xf numFmtId="0" fontId="45" fillId="2" borderId="2" xfId="197" applyFont="1" applyFill="1" applyBorder="1" applyAlignment="1">
      <alignment horizontal="center" vertical="center" shrinkToFit="1" readingOrder="1"/>
    </xf>
    <xf numFmtId="0" fontId="3" fillId="2" borderId="1" xfId="220" applyFont="1" applyFill="1" applyBorder="1" applyAlignment="1">
      <alignment horizontal="center" vertical="center"/>
    </xf>
    <xf numFmtId="194" fontId="19" fillId="2" borderId="1" xfId="220" applyNumberFormat="1" applyFont="1" applyFill="1" applyBorder="1" applyAlignment="1">
      <alignment horizontal="center" vertical="center"/>
    </xf>
    <xf numFmtId="2" fontId="3" fillId="2" borderId="1" xfId="199" applyNumberFormat="1" applyFont="1" applyFill="1" applyBorder="1" applyAlignment="1">
      <alignment horizontal="center" vertical="center"/>
    </xf>
    <xf numFmtId="0" fontId="6" fillId="2" borderId="2" xfId="197" applyFont="1" applyFill="1" applyBorder="1" applyAlignment="1">
      <alignment horizontal="center" vertical="center" shrinkToFit="1" readingOrder="1"/>
    </xf>
    <xf numFmtId="0" fontId="19" fillId="2" borderId="1" xfId="220" applyFont="1" applyFill="1" applyBorder="1" applyAlignment="1">
      <alignment horizontal="center" vertical="center"/>
    </xf>
    <xf numFmtId="0" fontId="16" fillId="33" borderId="1" xfId="197" applyFont="1" applyFill="1" applyBorder="1" applyAlignment="1">
      <alignment horizontal="left" vertical="center" shrinkToFit="1"/>
    </xf>
    <xf numFmtId="0" fontId="19" fillId="2" borderId="2" xfId="220" applyFont="1" applyFill="1" applyBorder="1" applyAlignment="1">
      <alignment horizontal="center" vertical="center"/>
    </xf>
    <xf numFmtId="194" fontId="19" fillId="2" borderId="2" xfId="220" applyNumberFormat="1" applyFont="1" applyFill="1" applyBorder="1" applyAlignment="1">
      <alignment horizontal="center" vertical="center"/>
    </xf>
    <xf numFmtId="0" fontId="19" fillId="2" borderId="2" xfId="220" applyFont="1" applyFill="1" applyBorder="1" applyAlignment="1">
      <alignment horizontal="center" vertical="center" wrapText="1"/>
    </xf>
    <xf numFmtId="0" fontId="3" fillId="2" borderId="2" xfId="221" applyFont="1" applyFill="1" applyBorder="1" applyAlignment="1">
      <alignment horizontal="center" vertical="center" wrapText="1"/>
    </xf>
    <xf numFmtId="0" fontId="3" fillId="2" borderId="110" xfId="220" applyFont="1" applyFill="1" applyBorder="1" applyAlignment="1">
      <alignment horizontal="center" vertical="center" wrapText="1"/>
    </xf>
    <xf numFmtId="0" fontId="46" fillId="2" borderId="2" xfId="197" applyFont="1" applyFill="1" applyBorder="1" applyAlignment="1">
      <alignment horizontal="center" vertical="center" shrinkToFit="1" readingOrder="1"/>
    </xf>
    <xf numFmtId="0" fontId="16" fillId="28" borderId="1" xfId="197" applyFont="1" applyFill="1" applyBorder="1" applyAlignment="1">
      <alignment horizontal="left" vertical="center" shrinkToFit="1"/>
    </xf>
    <xf numFmtId="0" fontId="16" fillId="19" borderId="1" xfId="197" applyFont="1" applyFill="1" applyBorder="1" applyAlignment="1">
      <alignment horizontal="left" vertical="center" shrinkToFit="1"/>
    </xf>
    <xf numFmtId="0" fontId="16" fillId="29" borderId="1" xfId="197" applyFont="1" applyFill="1" applyBorder="1" applyAlignment="1">
      <alignment horizontal="left" vertical="center" shrinkToFit="1"/>
    </xf>
    <xf numFmtId="0" fontId="45" fillId="2" borderId="3" xfId="197" applyFont="1" applyFill="1" applyBorder="1" applyAlignment="1">
      <alignment horizontal="center" vertical="center" shrinkToFit="1" readingOrder="1"/>
    </xf>
    <xf numFmtId="0" fontId="47" fillId="2" borderId="110" xfId="220" applyFont="1" applyFill="1" applyBorder="1" applyAlignment="1">
      <alignment horizontal="center" vertical="center" wrapText="1"/>
    </xf>
    <xf numFmtId="0" fontId="16" fillId="2" borderId="10" xfId="220" applyFont="1" applyFill="1" applyBorder="1" applyAlignment="1">
      <alignment horizontal="center" vertical="center" wrapText="1"/>
    </xf>
    <xf numFmtId="0" fontId="16" fillId="10" borderId="1" xfId="197" applyFont="1" applyFill="1" applyBorder="1" applyAlignment="1">
      <alignment horizontal="left" vertical="center" shrinkToFit="1"/>
    </xf>
    <xf numFmtId="0" fontId="48" fillId="2" borderId="1" xfId="220" applyFont="1" applyFill="1" applyBorder="1" applyAlignment="1">
      <alignment horizontal="center" vertical="center"/>
    </xf>
    <xf numFmtId="0" fontId="5" fillId="2" borderId="10" xfId="220" applyFont="1" applyFill="1" applyBorder="1" applyAlignment="1">
      <alignment horizontal="center" vertical="center" wrapText="1"/>
    </xf>
    <xf numFmtId="0" fontId="19" fillId="2" borderId="1" xfId="0" applyFont="1" applyFill="1" applyBorder="1" applyAlignment="1">
      <alignment horizontal="center" vertical="center" wrapText="1" readingOrder="1"/>
    </xf>
    <xf numFmtId="194" fontId="19" fillId="2" borderId="1" xfId="0" applyNumberFormat="1" applyFont="1" applyFill="1" applyBorder="1" applyAlignment="1">
      <alignment horizontal="center" vertical="center" wrapText="1" readingOrder="1"/>
    </xf>
    <xf numFmtId="0" fontId="19" fillId="2" borderId="1" xfId="0" applyFont="1" applyFill="1" applyBorder="1" applyAlignment="1">
      <alignment horizontal="center" vertical="center"/>
    </xf>
    <xf numFmtId="194" fontId="19" fillId="2" borderId="1" xfId="0" applyNumberFormat="1" applyFont="1" applyFill="1" applyBorder="1" applyAlignment="1">
      <alignment horizontal="center" vertical="center"/>
    </xf>
    <xf numFmtId="0" fontId="5" fillId="2" borderId="110" xfId="220" applyFont="1" applyFill="1" applyBorder="1" applyAlignment="1">
      <alignment horizontal="center" vertical="center" wrapText="1"/>
    </xf>
    <xf numFmtId="0" fontId="5" fillId="8" borderId="110" xfId="220" applyFont="1" applyFill="1" applyBorder="1" applyAlignment="1">
      <alignment horizontal="center" vertical="center" wrapText="1"/>
    </xf>
    <xf numFmtId="0" fontId="16" fillId="26" borderId="1" xfId="197" applyFont="1" applyFill="1" applyBorder="1" applyAlignment="1">
      <alignment horizontal="left" vertical="center" shrinkToFit="1"/>
    </xf>
    <xf numFmtId="0" fontId="45" fillId="0" borderId="2" xfId="197" applyFont="1" applyFill="1" applyBorder="1" applyAlignment="1">
      <alignment horizontal="center" vertical="center" shrinkToFit="1" readingOrder="1"/>
    </xf>
    <xf numFmtId="0" fontId="11" fillId="0" borderId="115" xfId="0" applyFont="1" applyBorder="1" applyAlignment="1">
      <alignment horizontal="center" vertical="center"/>
    </xf>
    <xf numFmtId="0" fontId="11" fillId="0" borderId="116" xfId="0" applyFont="1" applyBorder="1" applyAlignment="1">
      <alignment horizontal="center" vertical="center" wrapText="1"/>
    </xf>
    <xf numFmtId="0" fontId="5" fillId="2" borderId="117" xfId="220" applyFont="1" applyFill="1" applyBorder="1" applyAlignment="1">
      <alignment horizontal="center" vertical="center" wrapText="1"/>
    </xf>
    <xf numFmtId="0" fontId="16" fillId="19" borderId="116" xfId="197" applyFont="1" applyFill="1" applyBorder="1" applyAlignment="1">
      <alignment horizontal="left" vertical="center" shrinkToFit="1"/>
    </xf>
    <xf numFmtId="0" fontId="45" fillId="2" borderId="116" xfId="197" applyFont="1" applyFill="1" applyBorder="1" applyAlignment="1">
      <alignment horizontal="center" vertical="center" shrinkToFit="1" readingOrder="1"/>
    </xf>
    <xf numFmtId="0" fontId="19" fillId="2" borderId="116" xfId="0" applyFont="1" applyFill="1" applyBorder="1" applyAlignment="1">
      <alignment horizontal="center" vertical="center"/>
    </xf>
    <xf numFmtId="194" fontId="19" fillId="2" borderId="116" xfId="0" applyNumberFormat="1" applyFont="1" applyFill="1" applyBorder="1" applyAlignment="1">
      <alignment horizontal="center" vertical="center"/>
    </xf>
    <xf numFmtId="2" fontId="3" fillId="2" borderId="116" xfId="199" applyNumberFormat="1" applyFont="1" applyFill="1" applyBorder="1" applyAlignment="1">
      <alignment horizontal="center" vertical="center"/>
    </xf>
    <xf numFmtId="0" fontId="19" fillId="8" borderId="2" xfId="220" applyFont="1" applyFill="1" applyBorder="1" applyAlignment="1">
      <alignment horizontal="center" vertical="center" wrapText="1"/>
    </xf>
    <xf numFmtId="0" fontId="45" fillId="0" borderId="1" xfId="197" applyFont="1" applyFill="1" applyBorder="1" applyAlignment="1">
      <alignment horizontal="center" vertical="center" shrinkToFit="1" readingOrder="1"/>
    </xf>
    <xf numFmtId="0" fontId="45" fillId="2" borderId="1" xfId="197" applyFont="1" applyFill="1" applyBorder="1" applyAlignment="1">
      <alignment horizontal="center" vertical="center" shrinkToFit="1" readingOrder="1"/>
    </xf>
    <xf numFmtId="0" fontId="5" fillId="2" borderId="2" xfId="220" applyFont="1" applyFill="1" applyBorder="1" applyAlignment="1">
      <alignment horizontal="center" vertical="center" wrapText="1"/>
    </xf>
    <xf numFmtId="0" fontId="46" fillId="2" borderId="1" xfId="197" applyFont="1" applyFill="1" applyBorder="1" applyAlignment="1">
      <alignment horizontal="center" vertical="center" shrinkToFit="1" readingOrder="1"/>
    </xf>
    <xf numFmtId="0" fontId="45" fillId="2" borderId="10" xfId="198" applyFont="1" applyFill="1" applyBorder="1" applyAlignment="1">
      <alignment horizontal="center" vertical="center" shrinkToFit="1" readingOrder="1"/>
    </xf>
    <xf numFmtId="0" fontId="16" fillId="34" borderId="1" xfId="198" applyFont="1" applyFill="1" applyBorder="1" applyAlignment="1">
      <alignment horizontal="left" vertical="center" shrinkToFit="1"/>
    </xf>
    <xf numFmtId="0" fontId="45" fillId="2" borderId="1" xfId="198" applyFont="1" applyFill="1" applyBorder="1" applyAlignment="1">
      <alignment horizontal="center" vertical="center" shrinkToFit="1" readingOrder="1"/>
    </xf>
    <xf numFmtId="0" fontId="45" fillId="2" borderId="1" xfId="198" applyNumberFormat="1" applyFont="1" applyFill="1" applyBorder="1" applyAlignment="1">
      <alignment horizontal="center" vertical="center" shrinkToFit="1"/>
    </xf>
    <xf numFmtId="0" fontId="45" fillId="2" borderId="1" xfId="198" applyFont="1" applyFill="1" applyBorder="1" applyAlignment="1">
      <alignment horizontal="center" vertical="center" shrinkToFit="1"/>
    </xf>
    <xf numFmtId="2" fontId="3" fillId="2" borderId="1" xfId="200" applyNumberFormat="1" applyFont="1" applyFill="1" applyBorder="1" applyAlignment="1">
      <alignment horizontal="center" vertical="center"/>
    </xf>
    <xf numFmtId="0" fontId="49" fillId="2" borderId="2" xfId="220" applyFont="1" applyFill="1" applyBorder="1" applyAlignment="1">
      <alignment horizontal="center" vertical="center" wrapText="1"/>
    </xf>
    <xf numFmtId="0" fontId="16" fillId="35" borderId="1" xfId="197" applyFont="1" applyFill="1" applyBorder="1" applyAlignment="1">
      <alignment horizontal="left" vertical="center" shrinkToFit="1"/>
    </xf>
    <xf numFmtId="0" fontId="45" fillId="2" borderId="4" xfId="197" applyFont="1" applyFill="1" applyBorder="1" applyAlignment="1">
      <alignment horizontal="center" vertical="center" shrinkToFit="1" readingOrder="1"/>
    </xf>
    <xf numFmtId="0" fontId="5" fillId="2" borderId="1" xfId="220" applyFont="1" applyFill="1" applyBorder="1" applyAlignment="1">
      <alignment horizontal="center" vertical="center" wrapText="1"/>
    </xf>
    <xf numFmtId="0" fontId="16" fillId="18" borderId="1" xfId="197" applyFont="1" applyFill="1" applyBorder="1" applyAlignment="1">
      <alignment horizontal="left" vertical="center" shrinkToFit="1"/>
    </xf>
    <xf numFmtId="0" fontId="45" fillId="2" borderId="1" xfId="197" applyFont="1" applyFill="1" applyBorder="1" applyAlignment="1">
      <alignment horizontal="center" vertical="center"/>
    </xf>
    <xf numFmtId="0" fontId="11" fillId="0" borderId="116" xfId="0" applyFont="1" applyBorder="1" applyAlignment="1">
      <alignment wrapText="1"/>
    </xf>
    <xf numFmtId="0" fontId="5" fillId="2" borderId="116" xfId="220" applyFont="1" applyFill="1" applyBorder="1" applyAlignment="1">
      <alignment horizontal="center" vertical="center" wrapText="1"/>
    </xf>
    <xf numFmtId="0" fontId="16" fillId="29" borderId="116" xfId="197" applyFont="1" applyFill="1" applyBorder="1" applyAlignment="1">
      <alignment horizontal="left" vertical="center" shrinkToFit="1"/>
    </xf>
    <xf numFmtId="0" fontId="19" fillId="2" borderId="116" xfId="220" applyFont="1" applyFill="1" applyBorder="1" applyAlignment="1">
      <alignment horizontal="center" vertical="center"/>
    </xf>
    <xf numFmtId="194" fontId="19" fillId="2" borderId="116" xfId="220" applyNumberFormat="1" applyFont="1" applyFill="1" applyBorder="1" applyAlignment="1">
      <alignment horizontal="center" vertical="center"/>
    </xf>
    <xf numFmtId="0" fontId="50" fillId="0" borderId="4" xfId="0" applyFont="1" applyBorder="1" applyAlignment="1">
      <alignment vertical="center" wrapText="1"/>
    </xf>
    <xf numFmtId="0" fontId="5" fillId="2" borderId="4" xfId="220" applyFont="1" applyFill="1" applyBorder="1" applyAlignment="1">
      <alignment horizontal="center" vertical="center" wrapText="1"/>
    </xf>
    <xf numFmtId="0" fontId="5" fillId="2" borderId="3" xfId="220" applyFont="1" applyFill="1" applyBorder="1" applyAlignment="1">
      <alignment horizontal="center" vertical="center" wrapText="1"/>
    </xf>
    <xf numFmtId="0" fontId="3" fillId="2" borderId="3" xfId="220" applyFont="1" applyFill="1" applyBorder="1" applyAlignment="1">
      <alignment horizontal="center" vertical="center" wrapText="1"/>
    </xf>
    <xf numFmtId="0" fontId="19" fillId="2" borderId="3" xfId="220" applyFont="1" applyFill="1" applyBorder="1" applyAlignment="1">
      <alignment horizontal="center" vertical="center"/>
    </xf>
    <xf numFmtId="194" fontId="19" fillId="2" borderId="3" xfId="220" applyNumberFormat="1" applyFont="1" applyFill="1" applyBorder="1" applyAlignment="1">
      <alignment horizontal="center" vertical="center"/>
    </xf>
    <xf numFmtId="2" fontId="3" fillId="2" borderId="3" xfId="199" applyNumberFormat="1" applyFont="1" applyFill="1" applyBorder="1" applyAlignment="1">
      <alignment horizontal="center" vertical="center"/>
    </xf>
    <xf numFmtId="0" fontId="50" fillId="0" borderId="1" xfId="0" applyFont="1" applyBorder="1" applyAlignment="1">
      <alignment vertical="center" wrapText="1"/>
    </xf>
    <xf numFmtId="0" fontId="3" fillId="0" borderId="1" xfId="220" applyFont="1" applyBorder="1" applyAlignment="1">
      <alignment horizontal="center" vertical="center"/>
    </xf>
    <xf numFmtId="0" fontId="3" fillId="2" borderId="1" xfId="220" applyFont="1" applyFill="1" applyBorder="1" applyAlignment="1">
      <alignment horizontal="center" vertical="center" wrapText="1"/>
    </xf>
    <xf numFmtId="0" fontId="3" fillId="0" borderId="0" xfId="220" applyFont="1" applyAlignment="1">
      <alignment horizontal="center" vertical="center"/>
    </xf>
    <xf numFmtId="0" fontId="3" fillId="0" borderId="0" xfId="220" applyFont="1" applyAlignment="1">
      <alignment vertical="center"/>
    </xf>
    <xf numFmtId="188" fontId="3" fillId="0" borderId="0" xfId="220" applyNumberFormat="1" applyFont="1" applyAlignment="1">
      <alignment vertical="center"/>
    </xf>
    <xf numFmtId="0" fontId="3" fillId="17" borderId="0" xfId="0" applyFont="1" applyFill="1" applyAlignment="1">
      <alignment horizontal="left" vertical="center" wrapText="1"/>
    </xf>
    <xf numFmtId="0" fontId="29" fillId="0" borderId="0" xfId="0" applyFont="1" applyAlignment="1">
      <alignment horizontal="center" vertical="center" wrapText="1"/>
    </xf>
    <xf numFmtId="0" fontId="44" fillId="0" borderId="0" xfId="0" applyFont="1" applyAlignment="1">
      <alignment horizontal="center" vertical="center" wrapText="1"/>
    </xf>
    <xf numFmtId="188" fontId="11" fillId="0" borderId="0" xfId="0" applyNumberFormat="1" applyFont="1" applyAlignment="1">
      <alignment vertical="center"/>
    </xf>
    <xf numFmtId="0" fontId="3" fillId="13" borderId="2" xfId="220" applyFont="1" applyFill="1" applyBorder="1" applyAlignment="1">
      <alignment horizontal="center" vertical="center"/>
    </xf>
    <xf numFmtId="0" fontId="3" fillId="13" borderId="90" xfId="220" applyFont="1" applyFill="1" applyBorder="1" applyAlignment="1">
      <alignment horizontal="center" vertical="center"/>
    </xf>
    <xf numFmtId="0" fontId="3" fillId="10" borderId="2" xfId="220" applyFont="1" applyFill="1" applyBorder="1" applyAlignment="1">
      <alignment horizontal="center" vertical="center"/>
    </xf>
    <xf numFmtId="0" fontId="3" fillId="10" borderId="90" xfId="220" applyFont="1" applyFill="1" applyBorder="1" applyAlignment="1">
      <alignment horizontal="center" vertical="center"/>
    </xf>
    <xf numFmtId="0" fontId="3" fillId="2" borderId="112" xfId="0" applyFont="1" applyFill="1" applyBorder="1" applyAlignment="1">
      <alignment horizontal="center" vertical="center"/>
    </xf>
    <xf numFmtId="185" fontId="3" fillId="2" borderId="112" xfId="16" applyNumberFormat="1" applyFont="1" applyFill="1" applyBorder="1" applyAlignment="1">
      <alignment horizontal="center" vertical="center"/>
    </xf>
    <xf numFmtId="9" fontId="3" fillId="2" borderId="1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 readingOrder="1"/>
    </xf>
    <xf numFmtId="185" fontId="3" fillId="2" borderId="1" xfId="16" applyNumberFormat="1" applyFont="1" applyFill="1" applyBorder="1" applyAlignment="1">
      <alignment horizontal="center" vertical="center"/>
    </xf>
    <xf numFmtId="2" fontId="19" fillId="2" borderId="1" xfId="199" applyNumberFormat="1" applyFont="1" applyFill="1" applyBorder="1" applyAlignment="1">
      <alignment horizontal="center" vertical="center"/>
    </xf>
    <xf numFmtId="9" fontId="26" fillId="2" borderId="1" xfId="0" applyNumberFormat="1" applyFont="1" applyFill="1" applyBorder="1" applyAlignment="1">
      <alignment horizontal="center" vertical="center"/>
    </xf>
    <xf numFmtId="0" fontId="26" fillId="2" borderId="1" xfId="0" applyFont="1" applyFill="1" applyBorder="1" applyAlignment="1">
      <alignment horizontal="center" vertical="center"/>
    </xf>
    <xf numFmtId="0" fontId="26" fillId="2" borderId="1" xfId="0" applyFont="1" applyFill="1" applyBorder="1" applyAlignment="1">
      <alignment horizontal="center" vertical="center" wrapText="1" readingOrder="1"/>
    </xf>
    <xf numFmtId="185" fontId="26" fillId="2" borderId="3" xfId="16" applyNumberFormat="1" applyFont="1" applyFill="1" applyBorder="1" applyAlignment="1">
      <alignment horizontal="center" vertical="center"/>
    </xf>
    <xf numFmtId="2" fontId="19" fillId="2" borderId="1" xfId="200" applyNumberFormat="1" applyFont="1" applyFill="1" applyBorder="1" applyAlignment="1">
      <alignment horizontal="center" vertical="center"/>
    </xf>
    <xf numFmtId="185" fontId="16" fillId="2" borderId="1" xfId="16" applyNumberFormat="1" applyFont="1" applyFill="1" applyBorder="1" applyAlignment="1">
      <alignment horizontal="center" vertical="center"/>
    </xf>
    <xf numFmtId="2" fontId="19" fillId="2" borderId="1" xfId="199" applyNumberFormat="1" applyFont="1" applyFill="1" applyBorder="1" applyAlignment="1">
      <alignment horizontal="center" vertical="center" wrapText="1"/>
    </xf>
    <xf numFmtId="185" fontId="3" fillId="2" borderId="4" xfId="16" applyNumberFormat="1" applyFont="1" applyFill="1" applyBorder="1" applyAlignment="1">
      <alignment horizontal="center" vertical="center"/>
    </xf>
    <xf numFmtId="9" fontId="3" fillId="2" borderId="1" xfId="0" applyNumberFormat="1" applyFont="1" applyFill="1" applyBorder="1" applyAlignment="1">
      <alignment horizontal="center" vertical="center" wrapText="1" readingOrder="1"/>
    </xf>
    <xf numFmtId="9" fontId="5" fillId="2" borderId="1" xfId="220" applyNumberFormat="1" applyFont="1" applyFill="1" applyBorder="1" applyAlignment="1">
      <alignment horizontal="center" vertical="center" wrapText="1"/>
    </xf>
    <xf numFmtId="185" fontId="3" fillId="2" borderId="1" xfId="16" applyNumberFormat="1" applyFont="1" applyFill="1" applyBorder="1" applyAlignment="1">
      <alignment horizontal="center" vertical="center" wrapText="1" readingOrder="1"/>
    </xf>
    <xf numFmtId="2" fontId="3" fillId="2" borderId="1" xfId="199" applyNumberFormat="1" applyFont="1" applyFill="1" applyBorder="1" applyAlignment="1">
      <alignment horizontal="center" vertical="center" wrapText="1"/>
    </xf>
    <xf numFmtId="9" fontId="26" fillId="2" borderId="1" xfId="0" applyNumberFormat="1" applyFont="1" applyFill="1" applyBorder="1" applyAlignment="1">
      <alignment horizontal="center" vertical="center" wrapText="1" readingOrder="1"/>
    </xf>
    <xf numFmtId="0" fontId="3" fillId="2" borderId="1" xfId="0" applyNumberFormat="1" applyFont="1" applyFill="1" applyBorder="1" applyAlignment="1">
      <alignment horizontal="center" vertical="center" wrapText="1" readingOrder="1"/>
    </xf>
    <xf numFmtId="9" fontId="3" fillId="0" borderId="1" xfId="0" applyNumberFormat="1" applyFont="1" applyFill="1" applyBorder="1" applyAlignment="1">
      <alignment horizontal="center" vertical="center" wrapText="1" readingOrder="1"/>
    </xf>
    <xf numFmtId="0" fontId="3" fillId="0" borderId="1" xfId="0" applyFont="1" applyFill="1" applyBorder="1" applyAlignment="1">
      <alignment horizontal="center" vertical="center" wrapText="1" readingOrder="1"/>
    </xf>
    <xf numFmtId="9" fontId="5" fillId="2" borderId="2" xfId="220" applyNumberFormat="1" applyFont="1" applyFill="1" applyBorder="1" applyAlignment="1">
      <alignment horizontal="center" vertical="center" wrapText="1"/>
    </xf>
    <xf numFmtId="185" fontId="3" fillId="0" borderId="1" xfId="16" applyNumberFormat="1" applyFont="1" applyFill="1" applyBorder="1" applyAlignment="1">
      <alignment horizontal="center" vertical="center" wrapText="1" readingOrder="1"/>
    </xf>
    <xf numFmtId="0" fontId="3" fillId="2" borderId="116" xfId="220" applyFont="1" applyFill="1" applyBorder="1" applyAlignment="1">
      <alignment horizontal="center" vertical="center"/>
    </xf>
    <xf numFmtId="0" fontId="3" fillId="2" borderId="116" xfId="0" applyFont="1" applyFill="1" applyBorder="1" applyAlignment="1">
      <alignment horizontal="center" vertical="center" wrapText="1" readingOrder="1"/>
    </xf>
    <xf numFmtId="0" fontId="3" fillId="0" borderId="116" xfId="0" applyFont="1" applyFill="1" applyBorder="1" applyAlignment="1">
      <alignment horizontal="center" vertical="center" wrapText="1" readingOrder="1"/>
    </xf>
    <xf numFmtId="185" fontId="3" fillId="2" borderId="116" xfId="16" applyNumberFormat="1" applyFont="1" applyFill="1" applyBorder="1" applyAlignment="1">
      <alignment horizontal="center" vertical="center" wrapText="1" readingOrder="1"/>
    </xf>
    <xf numFmtId="10" fontId="3" fillId="2" borderId="1" xfId="0" applyNumberFormat="1" applyFont="1" applyFill="1" applyBorder="1" applyAlignment="1">
      <alignment horizontal="center" vertical="center" wrapText="1" readingOrder="1"/>
    </xf>
    <xf numFmtId="0" fontId="45" fillId="2" borderId="12" xfId="198" applyFont="1" applyFill="1" applyBorder="1" applyAlignment="1">
      <alignment horizontal="center" vertical="center" shrinkToFit="1" readingOrder="1"/>
    </xf>
    <xf numFmtId="2" fontId="3" fillId="2" borderId="4" xfId="199" applyNumberFormat="1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 wrapText="1" readingOrder="1"/>
    </xf>
    <xf numFmtId="185" fontId="3" fillId="2" borderId="3" xfId="16" applyNumberFormat="1" applyFont="1" applyFill="1" applyBorder="1" applyAlignment="1">
      <alignment horizontal="center" vertical="center" wrapText="1" readingOrder="1"/>
    </xf>
    <xf numFmtId="0" fontId="3" fillId="15" borderId="3" xfId="220" applyFont="1" applyFill="1" applyBorder="1" applyAlignment="1">
      <alignment horizontal="center" vertical="center"/>
    </xf>
    <xf numFmtId="0" fontId="3" fillId="0" borderId="113" xfId="0" applyFont="1" applyFill="1" applyBorder="1" applyAlignment="1">
      <alignment horizontal="center" vertical="center"/>
    </xf>
    <xf numFmtId="0" fontId="51" fillId="2" borderId="113" xfId="197" applyFont="1" applyFill="1" applyBorder="1" applyAlignment="1">
      <alignment horizontal="center" vertical="center" shrinkToFit="1"/>
    </xf>
    <xf numFmtId="0" fontId="6" fillId="2" borderId="118" xfId="197" applyFont="1" applyFill="1" applyBorder="1" applyAlignment="1">
      <alignment horizontal="center" vertical="center" wrapText="1"/>
    </xf>
    <xf numFmtId="0" fontId="26" fillId="0" borderId="2" xfId="0" applyFont="1" applyFill="1" applyBorder="1" applyAlignment="1">
      <alignment horizontal="center" vertical="center"/>
    </xf>
    <xf numFmtId="0" fontId="35" fillId="2" borderId="2" xfId="197" applyFont="1" applyFill="1" applyBorder="1" applyAlignment="1">
      <alignment horizontal="center" vertical="center" shrinkToFit="1"/>
    </xf>
    <xf numFmtId="0" fontId="16" fillId="2" borderId="119" xfId="197" applyFont="1" applyFill="1" applyBorder="1" applyAlignment="1">
      <alignment horizontal="center" vertical="center" wrapText="1"/>
    </xf>
    <xf numFmtId="0" fontId="11" fillId="2" borderId="2" xfId="197" applyFont="1" applyFill="1" applyBorder="1" applyAlignment="1">
      <alignment horizontal="center" vertical="center" shrinkToFit="1"/>
    </xf>
    <xf numFmtId="0" fontId="3" fillId="2" borderId="119" xfId="197" applyFont="1" applyFill="1" applyBorder="1" applyAlignment="1">
      <alignment horizontal="center" vertical="center" wrapText="1"/>
    </xf>
    <xf numFmtId="0" fontId="35" fillId="2" borderId="2" xfId="197" applyFont="1" applyFill="1" applyBorder="1" applyAlignment="1">
      <alignment horizontal="center" vertical="center" wrapText="1"/>
    </xf>
    <xf numFmtId="0" fontId="26" fillId="2" borderId="3" xfId="0" applyFont="1" applyFill="1" applyBorder="1" applyAlignment="1">
      <alignment horizontal="center" vertical="center"/>
    </xf>
    <xf numFmtId="0" fontId="26" fillId="2" borderId="10" xfId="0" applyFont="1" applyFill="1" applyBorder="1" applyAlignment="1">
      <alignment horizontal="center" vertical="center" wrapText="1" readingOrder="1"/>
    </xf>
    <xf numFmtId="0" fontId="26" fillId="2" borderId="2" xfId="0" applyFont="1" applyFill="1" applyBorder="1" applyAlignment="1">
      <alignment horizontal="center" vertical="center"/>
    </xf>
    <xf numFmtId="0" fontId="34" fillId="2" borderId="2" xfId="197" applyFont="1" applyFill="1" applyBorder="1" applyAlignment="1">
      <alignment horizontal="center" vertical="center" wrapText="1"/>
    </xf>
    <xf numFmtId="0" fontId="26" fillId="2" borderId="119" xfId="197" applyFont="1" applyFill="1" applyBorder="1" applyAlignment="1">
      <alignment horizontal="center" vertical="center"/>
    </xf>
    <xf numFmtId="0" fontId="35" fillId="2" borderId="90" xfId="197" applyFont="1" applyFill="1" applyBorder="1" applyAlignment="1">
      <alignment horizontal="center" vertical="center" wrapText="1"/>
    </xf>
    <xf numFmtId="0" fontId="35" fillId="2" borderId="9" xfId="197" applyFont="1" applyFill="1" applyBorder="1" applyAlignment="1">
      <alignment horizontal="center" vertical="center" wrapText="1"/>
    </xf>
    <xf numFmtId="0" fontId="16" fillId="2" borderId="120" xfId="197" applyFont="1" applyFill="1" applyBorder="1" applyAlignment="1">
      <alignment horizontal="center" vertical="center" wrapText="1"/>
    </xf>
    <xf numFmtId="0" fontId="35" fillId="2" borderId="90" xfId="197" applyFont="1" applyFill="1" applyBorder="1" applyAlignment="1">
      <alignment horizontal="center" vertical="center"/>
    </xf>
    <xf numFmtId="0" fontId="35" fillId="2" borderId="3" xfId="197" applyFont="1" applyFill="1" applyBorder="1" applyAlignment="1">
      <alignment horizontal="center" vertical="center" shrinkToFit="1"/>
    </xf>
    <xf numFmtId="0" fontId="35" fillId="2" borderId="2" xfId="197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10" xfId="0" applyFont="1" applyFill="1" applyBorder="1" applyAlignment="1">
      <alignment horizontal="center" vertical="center" wrapText="1" readingOrder="1"/>
    </xf>
    <xf numFmtId="0" fontId="26" fillId="0" borderId="4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26" fillId="0" borderId="1" xfId="0" applyNumberFormat="1" applyFont="1" applyFill="1" applyBorder="1" applyAlignment="1">
      <alignment horizontal="center" vertical="center" wrapText="1" readingOrder="1"/>
    </xf>
    <xf numFmtId="0" fontId="26" fillId="0" borderId="1" xfId="0" applyFont="1" applyFill="1" applyBorder="1" applyAlignment="1">
      <alignment horizontal="center" vertical="center"/>
    </xf>
    <xf numFmtId="0" fontId="36" fillId="0" borderId="2" xfId="197" applyFont="1" applyBorder="1" applyAlignment="1">
      <alignment horizontal="center" shrinkToFit="1"/>
    </xf>
    <xf numFmtId="0" fontId="3" fillId="0" borderId="10" xfId="0" applyFont="1" applyFill="1" applyBorder="1" applyAlignment="1">
      <alignment horizontal="center" vertical="center" wrapText="1" readingOrder="1"/>
    </xf>
    <xf numFmtId="0" fontId="16" fillId="2" borderId="119" xfId="197" applyFont="1" applyFill="1" applyBorder="1" applyAlignment="1">
      <alignment horizontal="center" vertical="center"/>
    </xf>
    <xf numFmtId="0" fontId="26" fillId="0" borderId="116" xfId="0" applyFont="1" applyFill="1" applyBorder="1" applyAlignment="1">
      <alignment horizontal="center" vertical="center"/>
    </xf>
    <xf numFmtId="0" fontId="36" fillId="0" borderId="116" xfId="197" applyFont="1" applyBorder="1" applyAlignment="1">
      <alignment horizontal="center" shrinkToFit="1"/>
    </xf>
    <xf numFmtId="0" fontId="16" fillId="2" borderId="121" xfId="197" applyFont="1" applyFill="1" applyBorder="1" applyAlignment="1">
      <alignment horizontal="center" vertical="center" wrapText="1"/>
    </xf>
    <xf numFmtId="0" fontId="35" fillId="2" borderId="1" xfId="197" applyFont="1" applyFill="1" applyBorder="1" applyAlignment="1">
      <alignment horizontal="center" vertical="center"/>
    </xf>
    <xf numFmtId="0" fontId="16" fillId="2" borderId="122" xfId="197" applyFont="1" applyFill="1" applyBorder="1" applyAlignment="1">
      <alignment horizontal="center" vertical="center"/>
    </xf>
    <xf numFmtId="0" fontId="26" fillId="0" borderId="2" xfId="0" applyFont="1" applyFill="1" applyBorder="1" applyAlignment="1">
      <alignment horizontal="center" vertical="center" wrapText="1" readingOrder="1"/>
    </xf>
    <xf numFmtId="0" fontId="26" fillId="2" borderId="122" xfId="197" applyFont="1" applyFill="1" applyBorder="1" applyAlignment="1">
      <alignment horizontal="center" vertical="center" wrapText="1"/>
    </xf>
    <xf numFmtId="0" fontId="45" fillId="0" borderId="1" xfId="198" applyFont="1" applyFill="1" applyBorder="1" applyAlignment="1">
      <alignment horizontal="center" vertical="center" shrinkToFit="1"/>
    </xf>
    <xf numFmtId="0" fontId="35" fillId="2" borderId="1" xfId="197" applyFont="1" applyFill="1" applyBorder="1" applyAlignment="1">
      <alignment horizontal="center" vertical="center" wrapText="1"/>
    </xf>
    <xf numFmtId="0" fontId="16" fillId="2" borderId="122" xfId="197" applyFont="1" applyFill="1" applyBorder="1" applyAlignment="1">
      <alignment horizontal="center" vertical="center" wrapText="1"/>
    </xf>
    <xf numFmtId="0" fontId="35" fillId="2" borderId="116" xfId="197" applyFont="1" applyFill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 wrapText="1"/>
    </xf>
    <xf numFmtId="0" fontId="26" fillId="0" borderId="3" xfId="0" applyFont="1" applyFill="1" applyBorder="1" applyAlignment="1">
      <alignment horizontal="center" vertical="center"/>
    </xf>
    <xf numFmtId="0" fontId="3" fillId="2" borderId="3" xfId="220" applyFont="1" applyFill="1" applyBorder="1" applyAlignment="1">
      <alignment horizontal="center" vertical="center"/>
    </xf>
    <xf numFmtId="0" fontId="3" fillId="36" borderId="90" xfId="200" applyFont="1" applyFill="1" applyBorder="1" applyAlignment="1">
      <alignment horizontal="center" vertical="center"/>
    </xf>
    <xf numFmtId="0" fontId="5" fillId="2" borderId="1" xfId="199" applyFont="1" applyFill="1" applyBorder="1" applyAlignment="1">
      <alignment horizontal="center" vertical="center" wrapText="1" readingOrder="1"/>
    </xf>
    <xf numFmtId="0" fontId="3" fillId="36" borderId="9" xfId="200" applyFont="1" applyFill="1" applyBorder="1" applyAlignment="1">
      <alignment horizontal="center" vertical="center"/>
    </xf>
    <xf numFmtId="10" fontId="3" fillId="2" borderId="1" xfId="199" applyNumberFormat="1" applyFont="1" applyFill="1" applyBorder="1" applyAlignment="1">
      <alignment horizontal="center" vertical="center"/>
    </xf>
    <xf numFmtId="10" fontId="3" fillId="2" borderId="1" xfId="0" applyNumberFormat="1" applyFont="1" applyFill="1" applyBorder="1" applyAlignment="1">
      <alignment horizontal="center" vertical="center"/>
    </xf>
    <xf numFmtId="0" fontId="3" fillId="36" borderId="6" xfId="200" applyFont="1" applyFill="1" applyBorder="1" applyAlignment="1">
      <alignment horizontal="center" vertical="center"/>
    </xf>
    <xf numFmtId="10" fontId="16" fillId="2" borderId="1" xfId="0" applyNumberFormat="1" applyFont="1" applyFill="1" applyBorder="1" applyAlignment="1">
      <alignment horizontal="center" vertical="center"/>
    </xf>
    <xf numFmtId="0" fontId="16" fillId="10" borderId="0" xfId="0" applyFont="1" applyFill="1" applyBorder="1" applyAlignment="1">
      <alignment horizontal="center" vertical="center"/>
    </xf>
    <xf numFmtId="0" fontId="3" fillId="18" borderId="90" xfId="0" applyFont="1" applyFill="1" applyBorder="1" applyAlignment="1">
      <alignment horizontal="center" vertical="center"/>
    </xf>
    <xf numFmtId="0" fontId="3" fillId="18" borderId="6" xfId="0" applyFont="1" applyFill="1" applyBorder="1" applyAlignment="1">
      <alignment horizontal="center" vertical="center"/>
    </xf>
    <xf numFmtId="0" fontId="3" fillId="0" borderId="0" xfId="199" applyFont="1" applyAlignment="1">
      <alignment horizontal="center" vertical="center"/>
    </xf>
    <xf numFmtId="2" fontId="3" fillId="2" borderId="1" xfId="199" applyNumberFormat="1" applyFont="1" applyFill="1" applyBorder="1" applyAlignment="1">
      <alignment vertical="center" wrapText="1"/>
    </xf>
    <xf numFmtId="0" fontId="48" fillId="2" borderId="1" xfId="0" applyFont="1" applyFill="1" applyBorder="1" applyAlignment="1">
      <alignment horizontal="center" vertical="center" wrapText="1"/>
    </xf>
    <xf numFmtId="0" fontId="30" fillId="0" borderId="0" xfId="199" applyFont="1" applyAlignment="1">
      <alignment horizontal="center" vertical="center"/>
    </xf>
    <xf numFmtId="0" fontId="30" fillId="0" borderId="0" xfId="199" applyFont="1" applyAlignment="1">
      <alignment vertical="center" wrapText="1"/>
    </xf>
    <xf numFmtId="0" fontId="52" fillId="0" borderId="1" xfId="199" applyFont="1" applyBorder="1"/>
    <xf numFmtId="0" fontId="53" fillId="29" borderId="0" xfId="199" applyFont="1" applyFill="1"/>
    <xf numFmtId="0" fontId="54" fillId="37" borderId="0" xfId="199" applyFont="1" applyFill="1" applyAlignment="1" applyProtection="1"/>
    <xf numFmtId="0" fontId="54" fillId="38" borderId="0" xfId="199" applyFont="1" applyFill="1" applyAlignment="1" applyProtection="1"/>
    <xf numFmtId="0" fontId="53" fillId="5" borderId="0" xfId="200" applyFont="1" applyFill="1"/>
    <xf numFmtId="0" fontId="54" fillId="39" borderId="0" xfId="199" applyFont="1" applyFill="1" applyAlignment="1" applyProtection="1"/>
    <xf numFmtId="0" fontId="54" fillId="40" borderId="0" xfId="199" applyFont="1" applyFill="1" applyAlignment="1" applyProtection="1"/>
    <xf numFmtId="0" fontId="54" fillId="37" borderId="0" xfId="200" applyFont="1" applyFill="1" applyAlignment="1" applyProtection="1"/>
    <xf numFmtId="0" fontId="54" fillId="41" borderId="0" xfId="200" applyFont="1" applyFill="1" applyAlignment="1" applyProtection="1"/>
    <xf numFmtId="0" fontId="53" fillId="29" borderId="0" xfId="200" applyFont="1" applyFill="1"/>
    <xf numFmtId="0" fontId="52" fillId="13" borderId="0" xfId="199" applyFont="1" applyFill="1" applyAlignment="1">
      <alignment horizontal="center"/>
    </xf>
    <xf numFmtId="0" fontId="54" fillId="13" borderId="0" xfId="200" applyFont="1" applyFill="1" applyAlignment="1" applyProtection="1"/>
    <xf numFmtId="0" fontId="54" fillId="29" borderId="0" xfId="200" applyFont="1" applyFill="1" applyAlignment="1" applyProtection="1"/>
    <xf numFmtId="0" fontId="54" fillId="5" borderId="0" xfId="200" applyFont="1" applyFill="1" applyAlignment="1" applyProtection="1"/>
    <xf numFmtId="0" fontId="54" fillId="0" borderId="0" xfId="200" applyFont="1" applyFill="1" applyAlignment="1" applyProtection="1"/>
    <xf numFmtId="0" fontId="54" fillId="42" borderId="0" xfId="199" applyFont="1" applyFill="1" applyAlignment="1" applyProtection="1"/>
    <xf numFmtId="0" fontId="53" fillId="2" borderId="0" xfId="199" applyFont="1" applyFill="1"/>
    <xf numFmtId="0" fontId="52" fillId="0" borderId="0" xfId="199" applyFont="1"/>
    <xf numFmtId="9" fontId="52" fillId="2" borderId="0" xfId="16" applyFont="1" applyFill="1" applyAlignment="1"/>
    <xf numFmtId="0" fontId="30" fillId="0" borderId="0" xfId="199" applyFont="1"/>
    <xf numFmtId="10" fontId="30" fillId="0" borderId="0" xfId="199" applyNumberFormat="1" applyFont="1"/>
    <xf numFmtId="0" fontId="30" fillId="5" borderId="0" xfId="199" applyFont="1" applyFill="1"/>
    <xf numFmtId="0" fontId="52" fillId="2" borderId="0" xfId="199" applyFont="1" applyFill="1"/>
    <xf numFmtId="9" fontId="30" fillId="2" borderId="0" xfId="16" applyFont="1" applyFill="1" applyAlignment="1">
      <alignment horizontal="center" vertical="center"/>
    </xf>
    <xf numFmtId="0" fontId="30" fillId="24" borderId="1" xfId="0" applyFont="1" applyFill="1" applyBorder="1" applyAlignment="1">
      <alignment horizontal="center" vertical="center"/>
    </xf>
    <xf numFmtId="0" fontId="30" fillId="24" borderId="1" xfId="0" applyFont="1" applyFill="1" applyBorder="1" applyAlignment="1">
      <alignment horizontal="center" vertical="center" wrapText="1"/>
    </xf>
    <xf numFmtId="9" fontId="30" fillId="2" borderId="0" xfId="16" applyFont="1" applyFill="1" applyAlignment="1">
      <alignment vertical="center" wrapText="1"/>
    </xf>
    <xf numFmtId="0" fontId="30" fillId="7" borderId="1" xfId="199" applyFont="1" applyFill="1" applyBorder="1" applyAlignment="1">
      <alignment horizontal="center" vertical="center" wrapText="1"/>
    </xf>
    <xf numFmtId="0" fontId="55" fillId="3" borderId="1" xfId="199" applyFont="1" applyFill="1" applyBorder="1" applyAlignment="1">
      <alignment horizontal="center" vertical="center" wrapText="1" readingOrder="1"/>
    </xf>
    <xf numFmtId="0" fontId="55" fillId="2" borderId="9" xfId="199" applyFont="1" applyFill="1" applyBorder="1" applyAlignment="1">
      <alignment horizontal="center" vertical="center" wrapText="1" readingOrder="1"/>
    </xf>
    <xf numFmtId="0" fontId="55" fillId="3" borderId="9" xfId="199" applyFont="1" applyFill="1" applyBorder="1" applyAlignment="1">
      <alignment horizontal="center" vertical="center" wrapText="1" readingOrder="1"/>
    </xf>
    <xf numFmtId="0" fontId="56" fillId="3" borderId="9" xfId="199" applyFont="1" applyFill="1" applyBorder="1" applyAlignment="1">
      <alignment horizontal="center" vertical="center" wrapText="1" readingOrder="1"/>
    </xf>
    <xf numFmtId="0" fontId="56" fillId="3" borderId="1" xfId="199" applyFont="1" applyFill="1" applyBorder="1" applyAlignment="1">
      <alignment horizontal="center" vertical="center" wrapText="1" readingOrder="1"/>
    </xf>
    <xf numFmtId="0" fontId="56" fillId="3" borderId="3" xfId="199" applyFont="1" applyFill="1" applyBorder="1" applyAlignment="1">
      <alignment horizontal="center" vertical="center" wrapText="1" readingOrder="1"/>
    </xf>
    <xf numFmtId="49" fontId="55" fillId="2" borderId="1" xfId="16" applyNumberFormat="1" applyFont="1" applyFill="1" applyBorder="1" applyAlignment="1">
      <alignment horizontal="center" vertical="center" wrapText="1" readingOrder="1"/>
    </xf>
    <xf numFmtId="0" fontId="57" fillId="3" borderId="1" xfId="199" applyFont="1" applyFill="1" applyBorder="1" applyAlignment="1">
      <alignment horizontal="center" vertical="center" wrapText="1" readingOrder="1"/>
    </xf>
    <xf numFmtId="0" fontId="56" fillId="3" borderId="4" xfId="199" applyFont="1" applyFill="1" applyBorder="1" applyAlignment="1">
      <alignment horizontal="center" vertical="center" wrapText="1" readingOrder="1"/>
    </xf>
    <xf numFmtId="0" fontId="53" fillId="2" borderId="1" xfId="199" applyFont="1" applyFill="1" applyBorder="1" applyAlignment="1">
      <alignment horizontal="center" vertical="center"/>
    </xf>
    <xf numFmtId="0" fontId="58" fillId="29" borderId="10" xfId="199" applyFont="1" applyFill="1" applyBorder="1" applyAlignment="1">
      <alignment horizontal="center" vertical="center" wrapText="1" readingOrder="1"/>
    </xf>
    <xf numFmtId="9" fontId="58" fillId="43" borderId="1" xfId="16" applyFont="1" applyFill="1" applyBorder="1" applyAlignment="1">
      <alignment horizontal="center" vertical="center" wrapText="1" readingOrder="1"/>
    </xf>
    <xf numFmtId="0" fontId="58" fillId="29" borderId="12" xfId="199" applyFont="1" applyFill="1" applyBorder="1" applyAlignment="1">
      <alignment horizontal="center" vertical="center" wrapText="1" readingOrder="1"/>
    </xf>
    <xf numFmtId="0" fontId="59" fillId="4" borderId="12" xfId="199" applyFont="1" applyFill="1" applyBorder="1" applyAlignment="1">
      <alignment horizontal="center" vertical="center" wrapText="1" readingOrder="1"/>
    </xf>
    <xf numFmtId="0" fontId="59" fillId="29" borderId="1" xfId="199" applyFont="1" applyFill="1" applyBorder="1" applyAlignment="1">
      <alignment horizontal="center" vertical="center" readingOrder="1"/>
    </xf>
    <xf numFmtId="9" fontId="59" fillId="29" borderId="1" xfId="199" applyNumberFormat="1" applyFont="1" applyFill="1" applyBorder="1" applyAlignment="1">
      <alignment horizontal="center" vertical="center" readingOrder="1"/>
    </xf>
    <xf numFmtId="0" fontId="59" fillId="29" borderId="1" xfId="199" applyFont="1" applyFill="1" applyBorder="1" applyAlignment="1">
      <alignment horizontal="center" vertical="center" wrapText="1" readingOrder="1"/>
    </xf>
    <xf numFmtId="9" fontId="58" fillId="2" borderId="10" xfId="16" applyFont="1" applyFill="1" applyBorder="1" applyAlignment="1">
      <alignment horizontal="center" vertical="center" wrapText="1" readingOrder="1"/>
    </xf>
    <xf numFmtId="0" fontId="58" fillId="29" borderId="1" xfId="199" applyFont="1" applyFill="1" applyBorder="1" applyAlignment="1">
      <alignment horizontal="center" vertical="center" wrapText="1" readingOrder="1"/>
    </xf>
    <xf numFmtId="0" fontId="59" fillId="29" borderId="12" xfId="199" applyFont="1" applyFill="1" applyBorder="1" applyAlignment="1">
      <alignment horizontal="center" vertical="center" wrapText="1" readingOrder="1"/>
    </xf>
    <xf numFmtId="9" fontId="58" fillId="2" borderId="110" xfId="16" applyFont="1" applyFill="1" applyBorder="1" applyAlignment="1">
      <alignment horizontal="center" vertical="center" wrapText="1" readingOrder="1"/>
    </xf>
    <xf numFmtId="0" fontId="60" fillId="39" borderId="0" xfId="199" applyFont="1" applyFill="1" applyBorder="1" applyAlignment="1" applyProtection="1">
      <alignment horizontal="center" vertical="center" wrapText="1" readingOrder="1"/>
    </xf>
    <xf numFmtId="9" fontId="58" fillId="2" borderId="1" xfId="16" applyFont="1" applyFill="1" applyBorder="1" applyAlignment="1">
      <alignment horizontal="center" vertical="center" wrapText="1" readingOrder="1"/>
    </xf>
    <xf numFmtId="0" fontId="60" fillId="37" borderId="1" xfId="199" applyFont="1" applyFill="1" applyBorder="1" applyAlignment="1" applyProtection="1">
      <alignment horizontal="center" vertical="center" wrapText="1" readingOrder="1"/>
    </xf>
    <xf numFmtId="0" fontId="56" fillId="44" borderId="12" xfId="204" applyFont="1" applyFill="1" applyBorder="1" applyAlignment="1">
      <alignment horizontal="center" vertical="center" wrapText="1" readingOrder="1"/>
    </xf>
    <xf numFmtId="0" fontId="56" fillId="44" borderId="1" xfId="204" applyFont="1" applyFill="1" applyBorder="1" applyAlignment="1">
      <alignment horizontal="center" vertical="center" wrapText="1" readingOrder="1"/>
    </xf>
    <xf numFmtId="0" fontId="56" fillId="44" borderId="60" xfId="204" applyFont="1" applyFill="1" applyBorder="1" applyAlignment="1">
      <alignment horizontal="center" vertical="center" wrapText="1" readingOrder="1"/>
    </xf>
    <xf numFmtId="0" fontId="60" fillId="37" borderId="0" xfId="199" applyFont="1" applyFill="1" applyBorder="1" applyAlignment="1" applyProtection="1">
      <alignment horizontal="center" vertical="center" wrapText="1" readingOrder="1"/>
    </xf>
    <xf numFmtId="9" fontId="60" fillId="39" borderId="1" xfId="16" applyFont="1" applyFill="1" applyBorder="1" applyAlignment="1" applyProtection="1">
      <alignment horizontal="center" vertical="center" wrapText="1" readingOrder="1"/>
    </xf>
    <xf numFmtId="0" fontId="60" fillId="38" borderId="0" xfId="199" applyFont="1" applyFill="1" applyBorder="1" applyAlignment="1" applyProtection="1">
      <alignment horizontal="center" vertical="center" wrapText="1" readingOrder="1"/>
    </xf>
    <xf numFmtId="0" fontId="60" fillId="38" borderId="1" xfId="199" applyFont="1" applyFill="1" applyBorder="1" applyAlignment="1" applyProtection="1">
      <alignment horizontal="center" vertical="center" wrapText="1" readingOrder="1"/>
    </xf>
    <xf numFmtId="0" fontId="56" fillId="45" borderId="12" xfId="204" applyFont="1" applyFill="1" applyBorder="1" applyAlignment="1">
      <alignment horizontal="center" vertical="center" wrapText="1" readingOrder="1"/>
    </xf>
    <xf numFmtId="0" fontId="56" fillId="45" borderId="1" xfId="204" applyFont="1" applyFill="1" applyBorder="1" applyAlignment="1">
      <alignment horizontal="center" vertical="center" wrapText="1" readingOrder="1"/>
    </xf>
    <xf numFmtId="0" fontId="58" fillId="5" borderId="10" xfId="200" applyFont="1" applyFill="1" applyBorder="1" applyAlignment="1">
      <alignment horizontal="center" vertical="center" wrapText="1" readingOrder="1"/>
    </xf>
    <xf numFmtId="0" fontId="61" fillId="38" borderId="1" xfId="199" applyFont="1" applyFill="1" applyBorder="1" applyAlignment="1" applyProtection="1">
      <alignment horizontal="center" vertical="center" wrapText="1" readingOrder="1"/>
    </xf>
    <xf numFmtId="0" fontId="59" fillId="5" borderId="12" xfId="200" applyFont="1" applyFill="1" applyBorder="1" applyAlignment="1">
      <alignment horizontal="center" vertical="center" wrapText="1" readingOrder="1"/>
    </xf>
    <xf numFmtId="0" fontId="59" fillId="5" borderId="1" xfId="200" applyFont="1" applyFill="1" applyBorder="1" applyAlignment="1">
      <alignment horizontal="center" vertical="center" wrapText="1" readingOrder="1"/>
    </xf>
    <xf numFmtId="9" fontId="59" fillId="5" borderId="1" xfId="200" applyNumberFormat="1" applyFont="1" applyFill="1" applyBorder="1" applyAlignment="1">
      <alignment horizontal="center" vertical="center" readingOrder="1"/>
    </xf>
    <xf numFmtId="0" fontId="60" fillId="39" borderId="49" xfId="199" applyFont="1" applyFill="1" applyBorder="1" applyAlignment="1" applyProtection="1">
      <alignment horizontal="center" vertical="center" wrapText="1" readingOrder="1"/>
    </xf>
    <xf numFmtId="0" fontId="61" fillId="39" borderId="1" xfId="199" applyFont="1" applyFill="1" applyBorder="1" applyAlignment="1" applyProtection="1">
      <alignment horizontal="center" vertical="center" wrapText="1" readingOrder="1"/>
    </xf>
    <xf numFmtId="0" fontId="56" fillId="46" borderId="51" xfId="199" applyFont="1" applyFill="1" applyBorder="1" applyAlignment="1" applyProtection="1">
      <alignment horizontal="center" vertical="center" wrapText="1" readingOrder="1"/>
    </xf>
    <xf numFmtId="0" fontId="56" fillId="46" borderId="31" xfId="199" applyFont="1" applyFill="1" applyBorder="1" applyAlignment="1" applyProtection="1">
      <alignment horizontal="center" vertical="center" wrapText="1" readingOrder="1"/>
    </xf>
    <xf numFmtId="9" fontId="56" fillId="46" borderId="31" xfId="199" applyNumberFormat="1" applyFont="1" applyFill="1" applyBorder="1" applyAlignment="1" applyProtection="1">
      <alignment horizontal="center" vertical="center" readingOrder="1"/>
    </xf>
    <xf numFmtId="0" fontId="60" fillId="40" borderId="0" xfId="199" applyFont="1" applyFill="1" applyBorder="1" applyAlignment="1" applyProtection="1">
      <alignment horizontal="center" vertical="center" wrapText="1" readingOrder="1"/>
    </xf>
    <xf numFmtId="9" fontId="60" fillId="39" borderId="0" xfId="16" applyFont="1" applyFill="1" applyBorder="1" applyAlignment="1" applyProtection="1">
      <alignment horizontal="center" vertical="center" wrapText="1" readingOrder="1"/>
    </xf>
    <xf numFmtId="0" fontId="62" fillId="40" borderId="1" xfId="199" applyFont="1" applyFill="1" applyBorder="1" applyAlignment="1" applyProtection="1">
      <alignment horizontal="center" vertical="center" wrapText="1" readingOrder="1"/>
    </xf>
    <xf numFmtId="0" fontId="56" fillId="47" borderId="51" xfId="199" applyFont="1" applyFill="1" applyBorder="1" applyAlignment="1" applyProtection="1">
      <alignment horizontal="center" vertical="center" wrapText="1" readingOrder="1"/>
    </xf>
    <xf numFmtId="0" fontId="56" fillId="47" borderId="31" xfId="199" applyFont="1" applyFill="1" applyBorder="1" applyAlignment="1" applyProtection="1">
      <alignment horizontal="center" vertical="center" wrapText="1" readingOrder="1"/>
    </xf>
    <xf numFmtId="0" fontId="63" fillId="37" borderId="12" xfId="199" applyFont="1" applyFill="1" applyBorder="1" applyAlignment="1" applyProtection="1">
      <alignment horizontal="center" vertical="center" wrapText="1" readingOrder="1"/>
    </xf>
    <xf numFmtId="0" fontId="56" fillId="48" borderId="51" xfId="199" applyFont="1" applyFill="1" applyBorder="1" applyAlignment="1" applyProtection="1">
      <alignment horizontal="center" vertical="center" wrapText="1" readingOrder="1"/>
    </xf>
    <xf numFmtId="0" fontId="56" fillId="48" borderId="31" xfId="199" applyFont="1" applyFill="1" applyBorder="1" applyAlignment="1" applyProtection="1">
      <alignment horizontal="center" vertical="center" wrapText="1" readingOrder="1"/>
    </xf>
    <xf numFmtId="0" fontId="60" fillId="40" borderId="0" xfId="200" applyFont="1" applyFill="1" applyBorder="1" applyAlignment="1" applyProtection="1">
      <alignment horizontal="center" vertical="center" wrapText="1" readingOrder="1"/>
    </xf>
    <xf numFmtId="9" fontId="60" fillId="49" borderId="1" xfId="16" applyFont="1" applyFill="1" applyBorder="1" applyAlignment="1" applyProtection="1">
      <alignment horizontal="center" vertical="center" wrapText="1" readingOrder="1"/>
    </xf>
    <xf numFmtId="0" fontId="62" fillId="37" borderId="12" xfId="199" applyFont="1" applyFill="1" applyBorder="1" applyAlignment="1" applyProtection="1">
      <alignment horizontal="center" vertical="center" wrapText="1" readingOrder="1"/>
    </xf>
    <xf numFmtId="0" fontId="60" fillId="50" borderId="0" xfId="200" applyFont="1" applyFill="1" applyBorder="1" applyAlignment="1" applyProtection="1">
      <alignment horizontal="center" vertical="center" wrapText="1" readingOrder="1"/>
    </xf>
    <xf numFmtId="0" fontId="64" fillId="41" borderId="12" xfId="199" applyFont="1" applyFill="1" applyBorder="1" applyAlignment="1" applyProtection="1">
      <alignment horizontal="center" vertical="center" wrapText="1" readingOrder="1"/>
    </xf>
    <xf numFmtId="0" fontId="56" fillId="51" borderId="51" xfId="199" applyFont="1" applyFill="1" applyBorder="1" applyAlignment="1" applyProtection="1">
      <alignment horizontal="center" vertical="center" wrapText="1" readingOrder="1"/>
    </xf>
    <xf numFmtId="0" fontId="56" fillId="51" borderId="31" xfId="199" applyFont="1" applyFill="1" applyBorder="1" applyAlignment="1" applyProtection="1">
      <alignment horizontal="center" vertical="center" wrapText="1" readingOrder="1"/>
    </xf>
    <xf numFmtId="0" fontId="58" fillId="29" borderId="10" xfId="200" applyFont="1" applyFill="1" applyBorder="1" applyAlignment="1">
      <alignment horizontal="center" vertical="center" wrapText="1" readingOrder="1"/>
    </xf>
    <xf numFmtId="0" fontId="62" fillId="29" borderId="12" xfId="200" applyFont="1" applyFill="1" applyBorder="1" applyAlignment="1">
      <alignment horizontal="center" vertical="center" wrapText="1" readingOrder="1"/>
    </xf>
    <xf numFmtId="0" fontId="59" fillId="29" borderId="12" xfId="200" applyFont="1" applyFill="1" applyBorder="1" applyAlignment="1">
      <alignment horizontal="center" vertical="center" wrapText="1" readingOrder="1"/>
    </xf>
    <xf numFmtId="0" fontId="59" fillId="29" borderId="1" xfId="200" applyFont="1" applyFill="1" applyBorder="1" applyAlignment="1">
      <alignment horizontal="center" vertical="center" readingOrder="1"/>
    </xf>
    <xf numFmtId="9" fontId="59" fillId="29" borderId="1" xfId="200" applyNumberFormat="1" applyFont="1" applyFill="1" applyBorder="1" applyAlignment="1">
      <alignment horizontal="center" vertical="center" readingOrder="1"/>
    </xf>
    <xf numFmtId="0" fontId="59" fillId="29" borderId="1" xfId="200" applyFont="1" applyFill="1" applyBorder="1" applyAlignment="1">
      <alignment horizontal="center" vertical="center" wrapText="1" readingOrder="1"/>
    </xf>
    <xf numFmtId="0" fontId="52" fillId="2" borderId="0" xfId="199" applyFont="1" applyFill="1" applyAlignment="1">
      <alignment horizontal="center"/>
    </xf>
    <xf numFmtId="9" fontId="52" fillId="2" borderId="1" xfId="16" applyFont="1" applyFill="1" applyBorder="1" applyAlignment="1">
      <alignment horizontal="center" vertical="center"/>
    </xf>
    <xf numFmtId="0" fontId="60" fillId="40" borderId="1" xfId="199" applyFont="1" applyFill="1" applyBorder="1" applyAlignment="1" applyProtection="1">
      <alignment horizontal="center" vertical="center" wrapText="1" readingOrder="1"/>
    </xf>
    <xf numFmtId="0" fontId="60" fillId="40" borderId="2" xfId="199" applyFont="1" applyFill="1" applyBorder="1" applyAlignment="1" applyProtection="1">
      <alignment horizontal="center" vertical="center" wrapText="1" readingOrder="1"/>
    </xf>
    <xf numFmtId="0" fontId="56" fillId="47" borderId="60" xfId="199" applyFont="1" applyFill="1" applyBorder="1" applyAlignment="1" applyProtection="1">
      <alignment horizontal="center" vertical="center" wrapText="1" readingOrder="1"/>
    </xf>
    <xf numFmtId="0" fontId="56" fillId="47" borderId="62" xfId="199" applyFont="1" applyFill="1" applyBorder="1" applyAlignment="1" applyProtection="1">
      <alignment horizontal="center" vertical="center" wrapText="1" readingOrder="1"/>
    </xf>
    <xf numFmtId="0" fontId="60" fillId="13" borderId="0" xfId="200" applyFont="1" applyFill="1" applyBorder="1" applyAlignment="1" applyProtection="1">
      <alignment horizontal="center" vertical="center" wrapText="1" readingOrder="1"/>
    </xf>
    <xf numFmtId="9" fontId="60" fillId="2" borderId="1" xfId="16" applyFont="1" applyFill="1" applyBorder="1" applyAlignment="1" applyProtection="1">
      <alignment horizontal="center" vertical="center" wrapText="1" readingOrder="1"/>
    </xf>
    <xf numFmtId="0" fontId="62" fillId="13" borderId="1" xfId="200" applyFont="1" applyFill="1" applyBorder="1" applyAlignment="1" applyProtection="1">
      <alignment horizontal="center" vertical="center" wrapText="1" readingOrder="1"/>
    </xf>
    <xf numFmtId="0" fontId="56" fillId="13" borderId="12" xfId="200" applyFont="1" applyFill="1" applyBorder="1" applyAlignment="1">
      <alignment horizontal="center" vertical="center" wrapText="1" readingOrder="1"/>
    </xf>
    <xf numFmtId="0" fontId="56" fillId="13" borderId="47" xfId="204" applyFont="1" applyFill="1" applyBorder="1" applyAlignment="1">
      <alignment horizontal="center" vertical="center" wrapText="1" readingOrder="1"/>
    </xf>
    <xf numFmtId="0" fontId="56" fillId="13" borderId="51" xfId="204" applyFont="1" applyFill="1" applyBorder="1" applyAlignment="1">
      <alignment horizontal="center" vertical="center" wrapText="1" readingOrder="1"/>
    </xf>
    <xf numFmtId="0" fontId="60" fillId="0" borderId="0" xfId="200" applyFont="1" applyFill="1" applyBorder="1" applyAlignment="1" applyProtection="1">
      <alignment horizontal="center" vertical="center" wrapText="1" readingOrder="1"/>
    </xf>
    <xf numFmtId="0" fontId="60" fillId="29" borderId="1" xfId="200" applyFont="1" applyFill="1" applyBorder="1" applyAlignment="1" applyProtection="1">
      <alignment horizontal="center" vertical="center" wrapText="1" readingOrder="1"/>
    </xf>
    <xf numFmtId="0" fontId="65" fillId="29" borderId="12" xfId="200" applyFont="1" applyFill="1" applyBorder="1" applyAlignment="1">
      <alignment horizontal="center" vertical="center" wrapText="1" readingOrder="1"/>
    </xf>
    <xf numFmtId="0" fontId="56" fillId="29" borderId="47" xfId="204" applyFont="1" applyFill="1" applyBorder="1" applyAlignment="1">
      <alignment horizontal="center" vertical="center" wrapText="1" readingOrder="1"/>
    </xf>
    <xf numFmtId="0" fontId="56" fillId="29" borderId="51" xfId="204" applyFont="1" applyFill="1" applyBorder="1" applyAlignment="1">
      <alignment horizontal="center" vertical="center" wrapText="1" readingOrder="1"/>
    </xf>
    <xf numFmtId="0" fontId="60" fillId="5" borderId="0" xfId="200" applyFont="1" applyFill="1" applyBorder="1" applyAlignment="1" applyProtection="1">
      <alignment horizontal="center" vertical="center" wrapText="1" readingOrder="1"/>
    </xf>
    <xf numFmtId="0" fontId="62" fillId="5" borderId="1" xfId="200" applyFont="1" applyFill="1" applyBorder="1" applyAlignment="1" applyProtection="1">
      <alignment horizontal="center" vertical="center" wrapText="1" readingOrder="1"/>
    </xf>
    <xf numFmtId="0" fontId="56" fillId="5" borderId="12" xfId="200" applyFont="1" applyFill="1" applyBorder="1" applyAlignment="1">
      <alignment horizontal="center" vertical="center" wrapText="1" readingOrder="1"/>
    </xf>
    <xf numFmtId="0" fontId="56" fillId="5" borderId="47" xfId="204" applyFont="1" applyFill="1" applyBorder="1" applyAlignment="1">
      <alignment horizontal="center" vertical="center" wrapText="1" readingOrder="1"/>
    </xf>
    <xf numFmtId="0" fontId="56" fillId="5" borderId="51" xfId="204" applyFont="1" applyFill="1" applyBorder="1" applyAlignment="1">
      <alignment horizontal="center" vertical="center" wrapText="1" readingOrder="1"/>
    </xf>
    <xf numFmtId="0" fontId="60" fillId="5" borderId="1" xfId="200" applyFont="1" applyFill="1" applyBorder="1" applyAlignment="1" applyProtection="1">
      <alignment horizontal="center" vertical="center" wrapText="1" readingOrder="1"/>
    </xf>
    <xf numFmtId="0" fontId="66" fillId="48" borderId="12" xfId="199" applyFont="1" applyFill="1" applyBorder="1" applyAlignment="1" applyProtection="1">
      <alignment horizontal="center" vertical="center" wrapText="1" readingOrder="1"/>
    </xf>
    <xf numFmtId="0" fontId="56" fillId="48" borderId="12" xfId="199" applyFont="1" applyFill="1" applyBorder="1" applyAlignment="1" applyProtection="1">
      <alignment horizontal="center" vertical="center" wrapText="1" readingOrder="1"/>
    </xf>
    <xf numFmtId="0" fontId="56" fillId="48" borderId="1" xfId="199" applyFont="1" applyFill="1" applyBorder="1" applyAlignment="1" applyProtection="1">
      <alignment horizontal="center" vertical="center" wrapText="1" readingOrder="1"/>
    </xf>
    <xf numFmtId="9" fontId="56" fillId="48" borderId="1" xfId="199" applyNumberFormat="1" applyFont="1" applyFill="1" applyBorder="1" applyAlignment="1" applyProtection="1">
      <alignment horizontal="center" vertical="center" wrapText="1" readingOrder="1"/>
    </xf>
    <xf numFmtId="0" fontId="60" fillId="29" borderId="0" xfId="200" applyFont="1" applyFill="1" applyBorder="1" applyAlignment="1" applyProtection="1">
      <alignment horizontal="center" vertical="center" wrapText="1" readingOrder="1"/>
    </xf>
    <xf numFmtId="0" fontId="67" fillId="29" borderId="1" xfId="200" applyFont="1" applyFill="1" applyBorder="1" applyAlignment="1" applyProtection="1">
      <alignment horizontal="center" vertical="center" wrapText="1" readingOrder="1"/>
    </xf>
    <xf numFmtId="0" fontId="56" fillId="29" borderId="12" xfId="200" applyFont="1" applyFill="1" applyBorder="1" applyAlignment="1">
      <alignment horizontal="center" vertical="center" wrapText="1" readingOrder="1"/>
    </xf>
    <xf numFmtId="0" fontId="61" fillId="0" borderId="1" xfId="200" applyFont="1" applyFill="1" applyBorder="1" applyAlignment="1" applyProtection="1">
      <alignment horizontal="center" vertical="center" wrapText="1" readingOrder="1"/>
    </xf>
    <xf numFmtId="0" fontId="56" fillId="0" borderId="12" xfId="200" applyFont="1" applyFill="1" applyBorder="1" applyAlignment="1">
      <alignment horizontal="center" vertical="center" wrapText="1" readingOrder="1"/>
    </xf>
    <xf numFmtId="0" fontId="56" fillId="0" borderId="47" xfId="204" applyFont="1" applyFill="1" applyBorder="1" applyAlignment="1">
      <alignment horizontal="center" vertical="center" wrapText="1" readingOrder="1"/>
    </xf>
    <xf numFmtId="0" fontId="56" fillId="0" borderId="51" xfId="204" applyFont="1" applyFill="1" applyBorder="1" applyAlignment="1">
      <alignment horizontal="center" vertical="center" wrapText="1" readingOrder="1"/>
    </xf>
    <xf numFmtId="9" fontId="56" fillId="48" borderId="1" xfId="199" applyNumberFormat="1" applyFont="1" applyFill="1" applyBorder="1" applyAlignment="1" applyProtection="1">
      <alignment horizontal="center" vertical="center" readingOrder="1"/>
    </xf>
    <xf numFmtId="0" fontId="67" fillId="39" borderId="1" xfId="199" applyFont="1" applyFill="1" applyBorder="1" applyAlignment="1" applyProtection="1">
      <alignment horizontal="center" vertical="center" wrapText="1" readingOrder="1"/>
    </xf>
    <xf numFmtId="0" fontId="56" fillId="52" borderId="12" xfId="199" applyFont="1" applyFill="1" applyBorder="1" applyAlignment="1" applyProtection="1">
      <alignment horizontal="center" vertical="center" wrapText="1" readingOrder="1"/>
    </xf>
    <xf numFmtId="0" fontId="56" fillId="46" borderId="1" xfId="199" applyFont="1" applyFill="1" applyBorder="1" applyAlignment="1" applyProtection="1">
      <alignment horizontal="center" vertical="center" wrapText="1" readingOrder="1"/>
    </xf>
    <xf numFmtId="9" fontId="56" fillId="46" borderId="1" xfId="199" applyNumberFormat="1" applyFont="1" applyFill="1" applyBorder="1" applyAlignment="1" applyProtection="1">
      <alignment horizontal="center" vertical="center" readingOrder="1"/>
    </xf>
    <xf numFmtId="0" fontId="60" fillId="42" borderId="0" xfId="199" applyFont="1" applyFill="1" applyBorder="1" applyAlignment="1" applyProtection="1">
      <alignment horizontal="center" vertical="center" wrapText="1" readingOrder="1"/>
    </xf>
    <xf numFmtId="0" fontId="60" fillId="42" borderId="1" xfId="199" applyFont="1" applyFill="1" applyBorder="1" applyAlignment="1" applyProtection="1">
      <alignment horizontal="center" vertical="center" wrapText="1" readingOrder="1"/>
    </xf>
    <xf numFmtId="0" fontId="56" fillId="52" borderId="1" xfId="199" applyFont="1" applyFill="1" applyBorder="1" applyAlignment="1" applyProtection="1">
      <alignment horizontal="center" vertical="center" wrapText="1" readingOrder="1"/>
    </xf>
    <xf numFmtId="9" fontId="56" fillId="52" borderId="1" xfId="199" applyNumberFormat="1" applyFont="1" applyFill="1" applyBorder="1" applyAlignment="1" applyProtection="1">
      <alignment horizontal="center" vertical="center" readingOrder="1"/>
    </xf>
    <xf numFmtId="0" fontId="60" fillId="39" borderId="1" xfId="199" applyFont="1" applyFill="1" applyBorder="1" applyAlignment="1" applyProtection="1">
      <alignment horizontal="center" vertical="center" wrapText="1" readingOrder="1"/>
    </xf>
    <xf numFmtId="0" fontId="56" fillId="46" borderId="12" xfId="199" applyFont="1" applyFill="1" applyBorder="1" applyAlignment="1" applyProtection="1">
      <alignment horizontal="center" vertical="center" wrapText="1" readingOrder="1"/>
    </xf>
    <xf numFmtId="0" fontId="58" fillId="2" borderId="10" xfId="199" applyFont="1" applyFill="1" applyBorder="1" applyAlignment="1">
      <alignment horizontal="center" vertical="center" wrapText="1" readingOrder="1"/>
    </xf>
    <xf numFmtId="0" fontId="58" fillId="2" borderId="1" xfId="199" applyFont="1" applyFill="1" applyBorder="1" applyAlignment="1">
      <alignment horizontal="center" vertical="center" wrapText="1" readingOrder="1"/>
    </xf>
    <xf numFmtId="0" fontId="59" fillId="2" borderId="12" xfId="199" applyFont="1" applyFill="1" applyBorder="1" applyAlignment="1">
      <alignment horizontal="center" vertical="center" wrapText="1" readingOrder="1"/>
    </xf>
    <xf numFmtId="0" fontId="59" fillId="2" borderId="1" xfId="199" applyFont="1" applyFill="1" applyBorder="1" applyAlignment="1">
      <alignment horizontal="center" vertical="center" readingOrder="1"/>
    </xf>
    <xf numFmtId="9" fontId="59" fillId="2" borderId="1" xfId="199" applyNumberFormat="1" applyFont="1" applyFill="1" applyBorder="1" applyAlignment="1">
      <alignment horizontal="center" vertical="center" readingOrder="1"/>
    </xf>
    <xf numFmtId="0" fontId="59" fillId="2" borderId="1" xfId="199" applyFont="1" applyFill="1" applyBorder="1" applyAlignment="1">
      <alignment horizontal="center" vertical="center" wrapText="1" readingOrder="1"/>
    </xf>
    <xf numFmtId="0" fontId="30" fillId="2" borderId="0" xfId="199" applyFont="1" applyFill="1"/>
    <xf numFmtId="10" fontId="68" fillId="3" borderId="10" xfId="199" applyNumberFormat="1" applyFont="1" applyFill="1" applyBorder="1" applyAlignment="1">
      <alignment horizontal="center" vertical="center" wrapText="1" readingOrder="1"/>
    </xf>
    <xf numFmtId="0" fontId="68" fillId="3" borderId="110" xfId="199" applyFont="1" applyFill="1" applyBorder="1" applyAlignment="1">
      <alignment horizontal="center" vertical="center" wrapText="1" readingOrder="1"/>
    </xf>
    <xf numFmtId="0" fontId="68" fillId="3" borderId="90" xfId="199" applyFont="1" applyFill="1" applyBorder="1" applyAlignment="1">
      <alignment horizontal="center" vertical="center" wrapText="1" readingOrder="1"/>
    </xf>
    <xf numFmtId="0" fontId="56" fillId="3" borderId="2" xfId="199" applyFont="1" applyFill="1" applyBorder="1" applyAlignment="1">
      <alignment horizontal="center" vertical="center" wrapText="1" readingOrder="1"/>
    </xf>
    <xf numFmtId="10" fontId="68" fillId="3" borderId="12" xfId="199" applyNumberFormat="1" applyFont="1" applyFill="1" applyBorder="1" applyAlignment="1">
      <alignment horizontal="center" vertical="center" wrapText="1" readingOrder="1"/>
    </xf>
    <xf numFmtId="0" fontId="68" fillId="3" borderId="1" xfId="199" applyFont="1" applyFill="1" applyBorder="1" applyAlignment="1">
      <alignment horizontal="center" vertical="center" wrapText="1" readingOrder="1"/>
    </xf>
    <xf numFmtId="0" fontId="64" fillId="29" borderId="1" xfId="199" applyFont="1" applyFill="1" applyBorder="1" applyAlignment="1">
      <alignment horizontal="center" vertical="center" wrapText="1" readingOrder="1"/>
    </xf>
    <xf numFmtId="10" fontId="69" fillId="29" borderId="1" xfId="199" applyNumberFormat="1" applyFont="1" applyFill="1" applyBorder="1" applyAlignment="1">
      <alignment horizontal="center" vertical="center" readingOrder="1"/>
    </xf>
    <xf numFmtId="0" fontId="69" fillId="29" borderId="1" xfId="199" applyNumberFormat="1" applyFont="1" applyFill="1" applyBorder="1" applyAlignment="1">
      <alignment horizontal="center" vertical="center" readingOrder="1"/>
    </xf>
    <xf numFmtId="0" fontId="69" fillId="29" borderId="0" xfId="199" applyFont="1" applyFill="1" applyBorder="1" applyAlignment="1">
      <alignment horizontal="center" vertical="center" readingOrder="1"/>
    </xf>
    <xf numFmtId="0" fontId="70" fillId="29" borderId="1" xfId="199" applyFont="1" applyFill="1" applyBorder="1" applyAlignment="1">
      <alignment horizontal="center" vertical="center" readingOrder="1"/>
    </xf>
    <xf numFmtId="0" fontId="69" fillId="29" borderId="1" xfId="199" applyFont="1" applyFill="1" applyBorder="1" applyAlignment="1">
      <alignment horizontal="center" vertical="center" wrapText="1" readingOrder="1"/>
    </xf>
    <xf numFmtId="0" fontId="69" fillId="29" borderId="1" xfId="199" applyFont="1" applyFill="1" applyBorder="1" applyAlignment="1">
      <alignment horizontal="center" vertical="center" readingOrder="1"/>
    </xf>
    <xf numFmtId="0" fontId="71" fillId="44" borderId="1" xfId="204" applyFont="1" applyFill="1" applyBorder="1" applyAlignment="1">
      <alignment horizontal="center" vertical="center"/>
    </xf>
    <xf numFmtId="10" fontId="72" fillId="44" borderId="1" xfId="204" applyNumberFormat="1" applyFont="1" applyFill="1" applyBorder="1" applyAlignment="1">
      <alignment horizontal="center" vertical="center" wrapText="1" readingOrder="1"/>
    </xf>
    <xf numFmtId="49" fontId="72" fillId="44" borderId="1" xfId="204" applyNumberFormat="1" applyFont="1" applyFill="1" applyBorder="1" applyAlignment="1">
      <alignment horizontal="center" vertical="center" readingOrder="1"/>
    </xf>
    <xf numFmtId="0" fontId="72" fillId="44" borderId="31" xfId="204" applyFont="1" applyFill="1" applyBorder="1" applyAlignment="1">
      <alignment horizontal="center" vertical="center" wrapText="1" readingOrder="1"/>
    </xf>
    <xf numFmtId="0" fontId="72" fillId="44" borderId="1" xfId="204" applyFont="1" applyFill="1" applyBorder="1" applyAlignment="1">
      <alignment horizontal="center" vertical="center" wrapText="1" readingOrder="1"/>
    </xf>
    <xf numFmtId="0" fontId="56" fillId="44" borderId="123" xfId="204" applyFont="1" applyFill="1" applyBorder="1" applyAlignment="1">
      <alignment horizontal="center" vertical="center" wrapText="1" readingOrder="1"/>
    </xf>
    <xf numFmtId="49" fontId="72" fillId="44" borderId="1" xfId="204" applyNumberFormat="1" applyFont="1" applyFill="1" applyBorder="1" applyAlignment="1">
      <alignment horizontal="center" vertical="center" wrapText="1" readingOrder="1"/>
    </xf>
    <xf numFmtId="0" fontId="71" fillId="45" borderId="1" xfId="204" applyFont="1" applyFill="1" applyBorder="1" applyAlignment="1">
      <alignment horizontal="center" vertical="center"/>
    </xf>
    <xf numFmtId="10" fontId="72" fillId="45" borderId="1" xfId="204" applyNumberFormat="1" applyFont="1" applyFill="1" applyBorder="1" applyAlignment="1">
      <alignment horizontal="center" vertical="center" wrapText="1" readingOrder="1"/>
    </xf>
    <xf numFmtId="49" fontId="72" fillId="45" borderId="1" xfId="204" applyNumberFormat="1" applyFont="1" applyFill="1" applyBorder="1" applyAlignment="1">
      <alignment horizontal="center" vertical="center" readingOrder="1"/>
    </xf>
    <xf numFmtId="0" fontId="72" fillId="45" borderId="1" xfId="204" applyFont="1" applyFill="1" applyBorder="1" applyAlignment="1">
      <alignment horizontal="center" vertical="center" wrapText="1" readingOrder="1"/>
    </xf>
    <xf numFmtId="0" fontId="64" fillId="5" borderId="1" xfId="200" applyFont="1" applyFill="1" applyBorder="1" applyAlignment="1">
      <alignment horizontal="center" vertical="center" readingOrder="1"/>
    </xf>
    <xf numFmtId="10" fontId="69" fillId="5" borderId="1" xfId="200" applyNumberFormat="1" applyFont="1" applyFill="1" applyBorder="1" applyAlignment="1">
      <alignment horizontal="center" vertical="center" wrapText="1" readingOrder="1"/>
    </xf>
    <xf numFmtId="0" fontId="69" fillId="5" borderId="1" xfId="200" applyNumberFormat="1" applyFont="1" applyFill="1" applyBorder="1" applyAlignment="1">
      <alignment horizontal="center" vertical="center" readingOrder="1"/>
    </xf>
    <xf numFmtId="0" fontId="30" fillId="5" borderId="1" xfId="200" applyFont="1" applyFill="1" applyBorder="1" applyAlignment="1">
      <alignment horizontal="center" vertical="center" readingOrder="1"/>
    </xf>
    <xf numFmtId="0" fontId="70" fillId="5" borderId="1" xfId="200" applyFont="1" applyFill="1" applyBorder="1" applyAlignment="1">
      <alignment horizontal="center" vertical="center" readingOrder="1"/>
    </xf>
    <xf numFmtId="0" fontId="69" fillId="5" borderId="1" xfId="200" applyFont="1" applyFill="1" applyBorder="1" applyAlignment="1">
      <alignment horizontal="center" vertical="center" wrapText="1" readingOrder="1"/>
    </xf>
    <xf numFmtId="0" fontId="69" fillId="5" borderId="1" xfId="200" applyFont="1" applyFill="1" applyBorder="1" applyAlignment="1">
      <alignment horizontal="center" vertical="center" readingOrder="1"/>
    </xf>
    <xf numFmtId="0" fontId="67" fillId="46" borderId="31" xfId="199" applyFont="1" applyFill="1" applyBorder="1" applyAlignment="1" applyProtection="1">
      <alignment horizontal="center" vertical="center" readingOrder="1"/>
    </xf>
    <xf numFmtId="10" fontId="72" fillId="46" borderId="31" xfId="199" applyNumberFormat="1" applyFont="1" applyFill="1" applyBorder="1" applyAlignment="1" applyProtection="1">
      <alignment horizontal="center" vertical="center" wrapText="1" readingOrder="1"/>
    </xf>
    <xf numFmtId="0" fontId="72" fillId="46" borderId="31" xfId="199" applyFont="1" applyFill="1" applyBorder="1" applyAlignment="1" applyProtection="1">
      <alignment horizontal="center" vertical="center" readingOrder="1"/>
    </xf>
    <xf numFmtId="0" fontId="72" fillId="46" borderId="31" xfId="199" applyFont="1" applyFill="1" applyBorder="1" applyAlignment="1" applyProtection="1">
      <alignment horizontal="center" vertical="center" wrapText="1" readingOrder="1"/>
    </xf>
    <xf numFmtId="10" fontId="72" fillId="47" borderId="31" xfId="199" applyNumberFormat="1" applyFont="1" applyFill="1" applyBorder="1" applyAlignment="1" applyProtection="1">
      <alignment horizontal="center" vertical="center" wrapText="1" readingOrder="1"/>
    </xf>
    <xf numFmtId="0" fontId="72" fillId="47" borderId="31" xfId="199" applyFont="1" applyFill="1" applyBorder="1" applyAlignment="1" applyProtection="1">
      <alignment horizontal="center" vertical="center" readingOrder="1"/>
    </xf>
    <xf numFmtId="10" fontId="72" fillId="48" borderId="31" xfId="199" applyNumberFormat="1" applyFont="1" applyFill="1" applyBorder="1" applyAlignment="1" applyProtection="1">
      <alignment horizontal="center" vertical="center" wrapText="1" readingOrder="1"/>
    </xf>
    <xf numFmtId="0" fontId="72" fillId="48" borderId="31" xfId="199" applyFont="1" applyFill="1" applyBorder="1" applyAlignment="1" applyProtection="1">
      <alignment horizontal="center" vertical="center" readingOrder="1"/>
    </xf>
    <xf numFmtId="10" fontId="72" fillId="51" borderId="31" xfId="199" applyNumberFormat="1" applyFont="1" applyFill="1" applyBorder="1" applyAlignment="1" applyProtection="1">
      <alignment horizontal="center" vertical="center" wrapText="1" readingOrder="1"/>
    </xf>
    <xf numFmtId="0" fontId="72" fillId="51" borderId="31" xfId="199" applyFont="1" applyFill="1" applyBorder="1" applyAlignment="1" applyProtection="1">
      <alignment horizontal="center" vertical="center" readingOrder="1"/>
    </xf>
    <xf numFmtId="0" fontId="64" fillId="29" borderId="1" xfId="200" applyFont="1" applyFill="1" applyBorder="1" applyAlignment="1">
      <alignment horizontal="center" vertical="center" wrapText="1" readingOrder="1"/>
    </xf>
    <xf numFmtId="10" fontId="69" fillId="29" borderId="1" xfId="200" applyNumberFormat="1" applyFont="1" applyFill="1" applyBorder="1" applyAlignment="1">
      <alignment horizontal="center" vertical="center" readingOrder="1"/>
    </xf>
    <xf numFmtId="0" fontId="69" fillId="29" borderId="1" xfId="200" applyNumberFormat="1" applyFont="1" applyFill="1" applyBorder="1" applyAlignment="1">
      <alignment horizontal="center" vertical="center" readingOrder="1"/>
    </xf>
    <xf numFmtId="0" fontId="69" fillId="29" borderId="1" xfId="200" applyFont="1" applyFill="1" applyBorder="1" applyAlignment="1">
      <alignment horizontal="center" vertical="center" readingOrder="1"/>
    </xf>
    <xf numFmtId="0" fontId="70" fillId="29" borderId="1" xfId="200" applyFont="1" applyFill="1" applyBorder="1" applyAlignment="1">
      <alignment horizontal="center" vertical="center" readingOrder="1"/>
    </xf>
    <xf numFmtId="0" fontId="69" fillId="29" borderId="1" xfId="200" applyFont="1" applyFill="1" applyBorder="1" applyAlignment="1">
      <alignment horizontal="center" vertical="center" wrapText="1" readingOrder="1"/>
    </xf>
    <xf numFmtId="10" fontId="72" fillId="47" borderId="62" xfId="199" applyNumberFormat="1" applyFont="1" applyFill="1" applyBorder="1" applyAlignment="1" applyProtection="1">
      <alignment horizontal="center" vertical="center" wrapText="1" readingOrder="1"/>
    </xf>
    <xf numFmtId="0" fontId="72" fillId="47" borderId="62" xfId="199" applyFont="1" applyFill="1" applyBorder="1" applyAlignment="1" applyProtection="1">
      <alignment horizontal="center" vertical="center" readingOrder="1"/>
    </xf>
    <xf numFmtId="0" fontId="72" fillId="13" borderId="31" xfId="204" applyFont="1" applyFill="1" applyBorder="1" applyAlignment="1">
      <alignment horizontal="center" vertical="center"/>
    </xf>
    <xf numFmtId="10" fontId="31" fillId="13" borderId="37" xfId="204" applyNumberFormat="1" applyFont="1" applyFill="1" applyBorder="1" applyAlignment="1">
      <alignment horizontal="center" vertical="center" wrapText="1" readingOrder="1"/>
    </xf>
    <xf numFmtId="49" fontId="72" fillId="13" borderId="37" xfId="204" applyNumberFormat="1" applyFont="1" applyFill="1" applyBorder="1" applyAlignment="1">
      <alignment horizontal="center" vertical="center" readingOrder="1"/>
    </xf>
    <xf numFmtId="0" fontId="72" fillId="13" borderId="31" xfId="204" applyFont="1" applyFill="1" applyBorder="1" applyAlignment="1">
      <alignment horizontal="center" vertical="center" wrapText="1" readingOrder="1"/>
    </xf>
    <xf numFmtId="0" fontId="72" fillId="13" borderId="47" xfId="204" applyFont="1" applyFill="1" applyBorder="1" applyAlignment="1">
      <alignment horizontal="center" vertical="center" wrapText="1" readingOrder="1"/>
    </xf>
    <xf numFmtId="0" fontId="73" fillId="29" borderId="31" xfId="204" applyFont="1" applyFill="1" applyBorder="1" applyAlignment="1">
      <alignment horizontal="center" vertical="center"/>
    </xf>
    <xf numFmtId="10" fontId="72" fillId="29" borderId="37" xfId="204" applyNumberFormat="1" applyFont="1" applyFill="1" applyBorder="1" applyAlignment="1">
      <alignment horizontal="center" vertical="center" wrapText="1" readingOrder="1"/>
    </xf>
    <xf numFmtId="49" fontId="72" fillId="29" borderId="37" xfId="204" applyNumberFormat="1" applyFont="1" applyFill="1" applyBorder="1" applyAlignment="1">
      <alignment horizontal="center" vertical="center" readingOrder="1"/>
    </xf>
    <xf numFmtId="0" fontId="72" fillId="29" borderId="31" xfId="204" applyFont="1" applyFill="1" applyBorder="1" applyAlignment="1">
      <alignment horizontal="center" vertical="center" wrapText="1" readingOrder="1"/>
    </xf>
    <xf numFmtId="0" fontId="71" fillId="29" borderId="1" xfId="204" applyFont="1" applyFill="1" applyBorder="1" applyAlignment="1">
      <alignment horizontal="center" vertical="center"/>
    </xf>
    <xf numFmtId="0" fontId="72" fillId="29" borderId="47" xfId="204" applyFont="1" applyFill="1" applyBorder="1" applyAlignment="1">
      <alignment horizontal="center" vertical="center" wrapText="1" readingOrder="1"/>
    </xf>
    <xf numFmtId="0" fontId="73" fillId="5" borderId="31" xfId="204" applyFont="1" applyFill="1" applyBorder="1" applyAlignment="1">
      <alignment horizontal="center" vertical="center"/>
    </xf>
    <xf numFmtId="10" fontId="72" fillId="5" borderId="37" xfId="204" applyNumberFormat="1" applyFont="1" applyFill="1" applyBorder="1" applyAlignment="1">
      <alignment horizontal="center" vertical="center" wrapText="1" readingOrder="1"/>
    </xf>
    <xf numFmtId="49" fontId="72" fillId="5" borderId="37" xfId="204" applyNumberFormat="1" applyFont="1" applyFill="1" applyBorder="1" applyAlignment="1">
      <alignment horizontal="center" vertical="center" readingOrder="1"/>
    </xf>
    <xf numFmtId="0" fontId="72" fillId="5" borderId="31" xfId="204" applyFont="1" applyFill="1" applyBorder="1" applyAlignment="1">
      <alignment horizontal="center" vertical="center" wrapText="1" readingOrder="1"/>
    </xf>
    <xf numFmtId="0" fontId="71" fillId="5" borderId="1" xfId="204" applyFont="1" applyFill="1" applyBorder="1" applyAlignment="1">
      <alignment horizontal="center" vertical="center"/>
    </xf>
    <xf numFmtId="0" fontId="72" fillId="5" borderId="47" xfId="204" applyFont="1" applyFill="1" applyBorder="1" applyAlignment="1">
      <alignment horizontal="center" vertical="center" wrapText="1" readingOrder="1"/>
    </xf>
    <xf numFmtId="0" fontId="67" fillId="48" borderId="1" xfId="199" applyFont="1" applyFill="1" applyBorder="1" applyAlignment="1" applyProtection="1">
      <alignment horizontal="center" vertical="center" readingOrder="1"/>
    </xf>
    <xf numFmtId="10" fontId="72" fillId="48" borderId="1" xfId="199" applyNumberFormat="1" applyFont="1" applyFill="1" applyBorder="1" applyAlignment="1" applyProtection="1">
      <alignment horizontal="center" vertical="center" wrapText="1" readingOrder="1"/>
    </xf>
    <xf numFmtId="0" fontId="72" fillId="48" borderId="1" xfId="199" applyFont="1" applyFill="1" applyBorder="1" applyAlignment="1" applyProtection="1">
      <alignment horizontal="center" vertical="center" readingOrder="1"/>
    </xf>
    <xf numFmtId="0" fontId="71" fillId="48" borderId="1" xfId="199" applyFont="1" applyFill="1" applyBorder="1" applyAlignment="1" applyProtection="1">
      <alignment horizontal="center" vertical="center" readingOrder="1"/>
    </xf>
    <xf numFmtId="0" fontId="72" fillId="48" borderId="1" xfId="199" applyFont="1" applyFill="1" applyBorder="1" applyAlignment="1" applyProtection="1">
      <alignment horizontal="center" vertical="center" wrapText="1" readingOrder="1"/>
    </xf>
    <xf numFmtId="0" fontId="73" fillId="0" borderId="31" xfId="204" applyFont="1" applyFill="1" applyBorder="1" applyAlignment="1">
      <alignment horizontal="center" vertical="center"/>
    </xf>
    <xf numFmtId="10" fontId="72" fillId="0" borderId="37" xfId="204" applyNumberFormat="1" applyFont="1" applyFill="1" applyBorder="1" applyAlignment="1">
      <alignment horizontal="center" vertical="center" wrapText="1" readingOrder="1"/>
    </xf>
    <xf numFmtId="49" fontId="72" fillId="0" borderId="37" xfId="204" applyNumberFormat="1" applyFont="1" applyFill="1" applyBorder="1" applyAlignment="1">
      <alignment horizontal="center" vertical="center" readingOrder="1"/>
    </xf>
    <xf numFmtId="0" fontId="72" fillId="0" borderId="31" xfId="204" applyFont="1" applyFill="1" applyBorder="1" applyAlignment="1">
      <alignment horizontal="center" vertical="center" wrapText="1" readingOrder="1"/>
    </xf>
    <xf numFmtId="0" fontId="71" fillId="0" borderId="1" xfId="204" applyFont="1" applyFill="1" applyBorder="1" applyAlignment="1">
      <alignment horizontal="center" vertical="center"/>
    </xf>
    <xf numFmtId="0" fontId="72" fillId="0" borderId="47" xfId="204" applyFont="1" applyFill="1" applyBorder="1" applyAlignment="1">
      <alignment horizontal="center" vertical="center" wrapText="1" readingOrder="1"/>
    </xf>
    <xf numFmtId="0" fontId="67" fillId="46" borderId="1" xfId="199" applyFont="1" applyFill="1" applyBorder="1" applyAlignment="1" applyProtection="1">
      <alignment horizontal="center" vertical="center" readingOrder="1"/>
    </xf>
    <xf numFmtId="10" fontId="72" fillId="46" borderId="1" xfId="199" applyNumberFormat="1" applyFont="1" applyFill="1" applyBorder="1" applyAlignment="1" applyProtection="1">
      <alignment horizontal="center" vertical="center" wrapText="1" readingOrder="1"/>
    </xf>
    <xf numFmtId="0" fontId="72" fillId="46" borderId="1" xfId="199" applyFont="1" applyFill="1" applyBorder="1" applyAlignment="1" applyProtection="1">
      <alignment horizontal="center" vertical="center" readingOrder="1"/>
    </xf>
    <xf numFmtId="0" fontId="71" fillId="46" borderId="1" xfId="199" applyFont="1" applyFill="1" applyBorder="1" applyAlignment="1" applyProtection="1">
      <alignment horizontal="center" vertical="center" readingOrder="1"/>
    </xf>
    <xf numFmtId="0" fontId="72" fillId="46" borderId="1" xfId="199" applyFont="1" applyFill="1" applyBorder="1" applyAlignment="1" applyProtection="1">
      <alignment horizontal="center" vertical="center" wrapText="1" readingOrder="1"/>
    </xf>
    <xf numFmtId="0" fontId="67" fillId="52" borderId="1" xfId="199" applyFont="1" applyFill="1" applyBorder="1" applyAlignment="1" applyProtection="1">
      <alignment horizontal="center" vertical="center" readingOrder="1"/>
    </xf>
    <xf numFmtId="10" fontId="72" fillId="52" borderId="1" xfId="199" applyNumberFormat="1" applyFont="1" applyFill="1" applyBorder="1" applyAlignment="1" applyProtection="1">
      <alignment horizontal="center" vertical="center" wrapText="1" readingOrder="1"/>
    </xf>
    <xf numFmtId="0" fontId="72" fillId="52" borderId="1" xfId="199" applyFont="1" applyFill="1" applyBorder="1" applyAlignment="1" applyProtection="1">
      <alignment horizontal="center" vertical="center" readingOrder="1"/>
    </xf>
    <xf numFmtId="0" fontId="72" fillId="52" borderId="1" xfId="199" applyFont="1" applyFill="1" applyBorder="1" applyAlignment="1" applyProtection="1">
      <alignment horizontal="center" vertical="center" wrapText="1" readingOrder="1"/>
    </xf>
    <xf numFmtId="0" fontId="71" fillId="52" borderId="1" xfId="199" applyFont="1" applyFill="1" applyBorder="1" applyAlignment="1" applyProtection="1">
      <alignment horizontal="center" vertical="center" readingOrder="1"/>
    </xf>
    <xf numFmtId="10" fontId="69" fillId="2" borderId="1" xfId="199" applyNumberFormat="1" applyFont="1" applyFill="1" applyBorder="1" applyAlignment="1">
      <alignment horizontal="center" vertical="center" readingOrder="1"/>
    </xf>
    <xf numFmtId="0" fontId="69" fillId="2" borderId="1" xfId="199" applyNumberFormat="1" applyFont="1" applyFill="1" applyBorder="1" applyAlignment="1">
      <alignment horizontal="center" vertical="center" readingOrder="1"/>
    </xf>
    <xf numFmtId="0" fontId="69" fillId="2" borderId="1" xfId="199" applyFont="1" applyFill="1" applyBorder="1" applyAlignment="1">
      <alignment horizontal="center" vertical="center" readingOrder="1"/>
    </xf>
    <xf numFmtId="0" fontId="69" fillId="2" borderId="1" xfId="199" applyFont="1" applyFill="1" applyBorder="1" applyAlignment="1">
      <alignment horizontal="center" vertical="center" wrapText="1" readingOrder="1"/>
    </xf>
    <xf numFmtId="0" fontId="56" fillId="3" borderId="110" xfId="199" applyFont="1" applyFill="1" applyBorder="1" applyAlignment="1">
      <alignment horizontal="center" vertical="center" wrapText="1" readingOrder="1"/>
    </xf>
    <xf numFmtId="0" fontId="56" fillId="3" borderId="10" xfId="199" applyFont="1" applyFill="1" applyBorder="1" applyAlignment="1">
      <alignment horizontal="center" vertical="center" wrapText="1" readingOrder="1"/>
    </xf>
    <xf numFmtId="0" fontId="68" fillId="3" borderId="12" xfId="199" applyFont="1" applyFill="1" applyBorder="1" applyAlignment="1">
      <alignment horizontal="center" vertical="center" wrapText="1" readingOrder="1"/>
    </xf>
    <xf numFmtId="0" fontId="56" fillId="3" borderId="12" xfId="199" applyFont="1" applyFill="1" applyBorder="1" applyAlignment="1">
      <alignment horizontal="center" vertical="center" wrapText="1" readingOrder="1"/>
    </xf>
    <xf numFmtId="0" fontId="30" fillId="29" borderId="12" xfId="199" applyFont="1" applyFill="1" applyBorder="1" applyAlignment="1">
      <alignment horizontal="center" vertical="center" wrapText="1" readingOrder="1"/>
    </xf>
    <xf numFmtId="0" fontId="30" fillId="29" borderId="1" xfId="199" applyFont="1" applyFill="1" applyBorder="1" applyAlignment="1">
      <alignment horizontal="center" vertical="center" readingOrder="1"/>
    </xf>
    <xf numFmtId="0" fontId="30" fillId="13" borderId="1" xfId="199" applyFont="1" applyFill="1" applyBorder="1" applyAlignment="1">
      <alignment horizontal="center" vertical="center" readingOrder="1"/>
    </xf>
    <xf numFmtId="0" fontId="70" fillId="29" borderId="0" xfId="199" applyFont="1" applyFill="1" applyBorder="1" applyAlignment="1">
      <alignment horizontal="center" vertical="center" wrapText="1" readingOrder="1"/>
    </xf>
    <xf numFmtId="0" fontId="70" fillId="29" borderId="1" xfId="199" applyFont="1" applyFill="1" applyBorder="1" applyAlignment="1">
      <alignment horizontal="center" vertical="center" wrapText="1" readingOrder="1"/>
    </xf>
    <xf numFmtId="0" fontId="56" fillId="53" borderId="1" xfId="204" applyFont="1" applyFill="1" applyBorder="1" applyAlignment="1">
      <alignment horizontal="center" vertical="center" wrapText="1" readingOrder="1"/>
    </xf>
    <xf numFmtId="0" fontId="72" fillId="44" borderId="62" xfId="204" applyFont="1" applyFill="1" applyBorder="1" applyAlignment="1">
      <alignment horizontal="center" vertical="center"/>
    </xf>
    <xf numFmtId="0" fontId="56" fillId="54" borderId="1" xfId="204" applyFont="1" applyFill="1" applyBorder="1" applyAlignment="1">
      <alignment horizontal="center" vertical="center" wrapText="1" readingOrder="1"/>
    </xf>
    <xf numFmtId="49" fontId="72" fillId="45" borderId="1" xfId="204" applyNumberFormat="1" applyFont="1" applyFill="1" applyBorder="1" applyAlignment="1">
      <alignment horizontal="center" vertical="center" wrapText="1" readingOrder="1"/>
    </xf>
    <xf numFmtId="0" fontId="30" fillId="5" borderId="12" xfId="200" applyFont="1" applyFill="1" applyBorder="1" applyAlignment="1">
      <alignment horizontal="center" vertical="center" wrapText="1" readingOrder="1"/>
    </xf>
    <xf numFmtId="0" fontId="72" fillId="51" borderId="51" xfId="199" applyFont="1" applyFill="1" applyBorder="1" applyAlignment="1" applyProtection="1">
      <alignment horizontal="center" vertical="center" wrapText="1" readingOrder="1"/>
    </xf>
    <xf numFmtId="0" fontId="0" fillId="46" borderId="31" xfId="199" applyFont="1" applyFill="1" applyBorder="1" applyAlignment="1" applyProtection="1">
      <alignment horizontal="center" vertical="center" readingOrder="1"/>
    </xf>
    <xf numFmtId="0" fontId="72" fillId="47" borderId="51" xfId="199" applyFont="1" applyFill="1" applyBorder="1" applyAlignment="1" applyProtection="1">
      <alignment horizontal="center" vertical="center" wrapText="1" readingOrder="1"/>
    </xf>
    <xf numFmtId="0" fontId="72" fillId="48" borderId="51" xfId="199" applyFont="1" applyFill="1" applyBorder="1" applyAlignment="1" applyProtection="1">
      <alignment horizontal="center" vertical="center" wrapText="1" readingOrder="1"/>
    </xf>
    <xf numFmtId="0" fontId="72" fillId="46" borderId="51" xfId="199" applyFont="1" applyFill="1" applyBorder="1" applyAlignment="1" applyProtection="1">
      <alignment horizontal="center" vertical="center" wrapText="1" readingOrder="1"/>
    </xf>
    <xf numFmtId="0" fontId="72" fillId="55" borderId="51" xfId="199" applyFont="1" applyFill="1" applyBorder="1" applyAlignment="1" applyProtection="1">
      <alignment horizontal="center" vertical="center" wrapText="1" readingOrder="1"/>
    </xf>
    <xf numFmtId="0" fontId="30" fillId="29" borderId="12" xfId="200" applyFont="1" applyFill="1" applyBorder="1" applyAlignment="1">
      <alignment horizontal="center" vertical="center" wrapText="1" readingOrder="1"/>
    </xf>
    <xf numFmtId="0" fontId="30" fillId="29" borderId="1" xfId="200" applyFont="1" applyFill="1" applyBorder="1" applyAlignment="1">
      <alignment horizontal="center" vertical="center" readingOrder="1"/>
    </xf>
    <xf numFmtId="0" fontId="70" fillId="29" borderId="1" xfId="200" applyFont="1" applyFill="1" applyBorder="1" applyAlignment="1">
      <alignment horizontal="center" vertical="center" wrapText="1" readingOrder="1"/>
    </xf>
    <xf numFmtId="0" fontId="72" fillId="47" borderId="60" xfId="199" applyFont="1" applyFill="1" applyBorder="1" applyAlignment="1" applyProtection="1">
      <alignment horizontal="center" vertical="center" wrapText="1" readingOrder="1"/>
    </xf>
    <xf numFmtId="0" fontId="72" fillId="46" borderId="60" xfId="199" applyFont="1" applyFill="1" applyBorder="1" applyAlignment="1" applyProtection="1">
      <alignment horizontal="center" vertical="center" wrapText="1" readingOrder="1"/>
    </xf>
    <xf numFmtId="0" fontId="72" fillId="13" borderId="51" xfId="204" applyFont="1" applyFill="1" applyBorder="1" applyAlignment="1">
      <alignment horizontal="center" vertical="center" wrapText="1" readingOrder="1"/>
    </xf>
    <xf numFmtId="10" fontId="72" fillId="13" borderId="47" xfId="204" applyNumberFormat="1" applyFont="1" applyFill="1" applyBorder="1" applyAlignment="1">
      <alignment horizontal="center" vertical="center" wrapText="1" readingOrder="1"/>
    </xf>
    <xf numFmtId="0" fontId="72" fillId="29" borderId="51" xfId="204" applyFont="1" applyFill="1" applyBorder="1" applyAlignment="1">
      <alignment horizontal="center" vertical="center" wrapText="1" readingOrder="1"/>
    </xf>
    <xf numFmtId="10" fontId="72" fillId="29" borderId="47" xfId="204" applyNumberFormat="1" applyFont="1" applyFill="1" applyBorder="1" applyAlignment="1">
      <alignment horizontal="center" vertical="center" wrapText="1" readingOrder="1"/>
    </xf>
    <xf numFmtId="0" fontId="72" fillId="5" borderId="51" xfId="204" applyFont="1" applyFill="1" applyBorder="1" applyAlignment="1">
      <alignment horizontal="center" vertical="center" wrapText="1" readingOrder="1"/>
    </xf>
    <xf numFmtId="10" fontId="72" fillId="5" borderId="47" xfId="204" applyNumberFormat="1" applyFont="1" applyFill="1" applyBorder="1" applyAlignment="1">
      <alignment horizontal="center" vertical="center" wrapText="1" readingOrder="1"/>
    </xf>
    <xf numFmtId="0" fontId="29" fillId="48" borderId="1" xfId="199" applyFont="1" applyFill="1" applyBorder="1" applyAlignment="1" applyProtection="1">
      <alignment horizontal="center" vertical="center" readingOrder="1"/>
    </xf>
    <xf numFmtId="0" fontId="72" fillId="0" borderId="51" xfId="204" applyFont="1" applyFill="1" applyBorder="1" applyAlignment="1">
      <alignment horizontal="center" vertical="center" wrapText="1" readingOrder="1"/>
    </xf>
    <xf numFmtId="10" fontId="72" fillId="0" borderId="47" xfId="204" applyNumberFormat="1" applyFont="1" applyFill="1" applyBorder="1" applyAlignment="1">
      <alignment horizontal="center" vertical="center" wrapText="1" readingOrder="1"/>
    </xf>
    <xf numFmtId="0" fontId="29" fillId="46" borderId="1" xfId="199" applyFont="1" applyFill="1" applyBorder="1" applyAlignment="1" applyProtection="1">
      <alignment horizontal="center" vertical="center" readingOrder="1"/>
    </xf>
    <xf numFmtId="0" fontId="29" fillId="52" borderId="1" xfId="199" applyFont="1" applyFill="1" applyBorder="1" applyAlignment="1" applyProtection="1">
      <alignment horizontal="center" vertical="center" readingOrder="1"/>
    </xf>
    <xf numFmtId="0" fontId="0" fillId="46" borderId="1" xfId="199" applyFont="1" applyFill="1" applyBorder="1" applyAlignment="1" applyProtection="1">
      <alignment horizontal="center" vertical="center" readingOrder="1"/>
    </xf>
    <xf numFmtId="0" fontId="30" fillId="2" borderId="1" xfId="199" applyFont="1" applyFill="1" applyBorder="1" applyAlignment="1">
      <alignment horizontal="center" vertical="center" wrapText="1" readingOrder="1"/>
    </xf>
    <xf numFmtId="0" fontId="30" fillId="2" borderId="1" xfId="199" applyFont="1" applyFill="1" applyBorder="1" applyAlignment="1">
      <alignment horizontal="center" vertical="center" readingOrder="1"/>
    </xf>
    <xf numFmtId="0" fontId="74" fillId="56" borderId="0" xfId="0" applyFont="1" applyFill="1" applyBorder="1" applyAlignment="1">
      <alignment horizontal="center" vertical="center" wrapText="1"/>
    </xf>
    <xf numFmtId="9" fontId="30" fillId="7" borderId="1" xfId="16" applyFont="1" applyFill="1" applyBorder="1" applyAlignment="1">
      <alignment horizontal="center" vertical="center" wrapText="1"/>
    </xf>
    <xf numFmtId="0" fontId="30" fillId="7" borderId="0" xfId="199" applyFont="1" applyFill="1" applyBorder="1" applyAlignment="1">
      <alignment horizontal="center" vertical="center" wrapText="1"/>
    </xf>
    <xf numFmtId="0" fontId="56" fillId="3" borderId="124" xfId="199" applyFont="1" applyFill="1" applyBorder="1" applyAlignment="1">
      <alignment horizontal="center" vertical="center" wrapText="1" readingOrder="1"/>
    </xf>
    <xf numFmtId="0" fontId="57" fillId="57" borderId="1" xfId="200" applyFont="1" applyFill="1" applyBorder="1" applyAlignment="1">
      <alignment horizontal="center" vertical="center" wrapText="1" readingOrder="1"/>
    </xf>
    <xf numFmtId="0" fontId="69" fillId="29" borderId="1" xfId="199" applyFont="1" applyFill="1" applyBorder="1" applyAlignment="1">
      <alignment horizontal="center" vertical="center"/>
    </xf>
    <xf numFmtId="0" fontId="69" fillId="29" borderId="10" xfId="200" applyFont="1" applyFill="1" applyBorder="1" applyAlignment="1">
      <alignment horizontal="center" vertical="center"/>
    </xf>
    <xf numFmtId="0" fontId="69" fillId="29" borderId="10" xfId="199" applyFont="1" applyFill="1" applyBorder="1" applyAlignment="1">
      <alignment horizontal="center" vertical="center" wrapText="1" readingOrder="1"/>
    </xf>
    <xf numFmtId="0" fontId="75" fillId="29" borderId="1" xfId="199" applyFont="1" applyFill="1" applyBorder="1" applyAlignment="1">
      <alignment horizontal="center" vertical="center" readingOrder="1"/>
    </xf>
    <xf numFmtId="195" fontId="69" fillId="29" borderId="1" xfId="199" applyNumberFormat="1" applyFont="1" applyFill="1" applyBorder="1" applyAlignment="1">
      <alignment horizontal="center" vertical="center" readingOrder="1"/>
    </xf>
    <xf numFmtId="0" fontId="72" fillId="44" borderId="123" xfId="204" applyFont="1" applyFill="1" applyBorder="1" applyAlignment="1">
      <alignment horizontal="center" vertical="center" wrapText="1" readingOrder="1"/>
    </xf>
    <xf numFmtId="0" fontId="73" fillId="44" borderId="47" xfId="204" applyFont="1" applyFill="1" applyBorder="1" applyAlignment="1">
      <alignment horizontal="center" vertical="center" wrapText="1" readingOrder="1"/>
    </xf>
    <xf numFmtId="0" fontId="69" fillId="5" borderId="10" xfId="200" applyFont="1" applyFill="1" applyBorder="1" applyAlignment="1">
      <alignment horizontal="center" vertical="center"/>
    </xf>
    <xf numFmtId="0" fontId="72" fillId="45" borderId="123" xfId="204" applyFont="1" applyFill="1" applyBorder="1" applyAlignment="1">
      <alignment horizontal="center" vertical="center" wrapText="1" readingOrder="1"/>
    </xf>
    <xf numFmtId="0" fontId="73" fillId="45" borderId="47" xfId="204" applyFont="1" applyFill="1" applyBorder="1" applyAlignment="1">
      <alignment horizontal="center" vertical="center" wrapText="1" readingOrder="1"/>
    </xf>
    <xf numFmtId="0" fontId="69" fillId="5" borderId="1" xfId="200" applyFont="1" applyFill="1" applyBorder="1" applyAlignment="1">
      <alignment horizontal="center" vertical="center"/>
    </xf>
    <xf numFmtId="0" fontId="69" fillId="5" borderId="10" xfId="200" applyFont="1" applyFill="1" applyBorder="1" applyAlignment="1">
      <alignment horizontal="center" vertical="center" wrapText="1" readingOrder="1"/>
    </xf>
    <xf numFmtId="0" fontId="75" fillId="5" borderId="1" xfId="200" applyFont="1" applyFill="1" applyBorder="1" applyAlignment="1">
      <alignment horizontal="center" vertical="center" readingOrder="1"/>
    </xf>
    <xf numFmtId="195" fontId="69" fillId="5" borderId="1" xfId="200" applyNumberFormat="1" applyFont="1" applyFill="1" applyBorder="1" applyAlignment="1">
      <alignment horizontal="center" vertical="center" readingOrder="1"/>
    </xf>
    <xf numFmtId="0" fontId="72" fillId="51" borderId="31" xfId="199" applyFont="1" applyFill="1" applyBorder="1" applyAlignment="1" applyProtection="1">
      <alignment horizontal="center" vertical="center" wrapText="1" readingOrder="1"/>
    </xf>
    <xf numFmtId="0" fontId="72" fillId="46" borderId="31" xfId="199" applyFont="1" applyFill="1" applyBorder="1" applyAlignment="1" applyProtection="1">
      <alignment horizontal="center" vertical="center"/>
    </xf>
    <xf numFmtId="0" fontId="72" fillId="46" borderId="49" xfId="200" applyFont="1" applyFill="1" applyBorder="1" applyAlignment="1" applyProtection="1">
      <alignment horizontal="center" vertical="center"/>
    </xf>
    <xf numFmtId="0" fontId="72" fillId="46" borderId="49" xfId="199" applyFont="1" applyFill="1" applyBorder="1" applyAlignment="1" applyProtection="1">
      <alignment horizontal="center" vertical="center" wrapText="1" readingOrder="1"/>
    </xf>
    <xf numFmtId="182" fontId="72" fillId="46" borderId="31" xfId="199" applyNumberFormat="1" applyFont="1" applyFill="1" applyBorder="1" applyAlignment="1" applyProtection="1">
      <alignment horizontal="center" vertical="center" readingOrder="1"/>
    </xf>
    <xf numFmtId="0" fontId="72" fillId="47" borderId="51" xfId="200" applyFont="1" applyFill="1" applyBorder="1" applyAlignment="1" applyProtection="1">
      <alignment horizontal="center" vertical="center" wrapText="1" readingOrder="1"/>
    </xf>
    <xf numFmtId="182" fontId="72" fillId="47" borderId="31" xfId="199" applyNumberFormat="1" applyFont="1" applyFill="1" applyBorder="1" applyAlignment="1" applyProtection="1">
      <alignment horizontal="center" vertical="center" readingOrder="1"/>
    </xf>
    <xf numFmtId="0" fontId="72" fillId="48" borderId="51" xfId="200" applyFont="1" applyFill="1" applyBorder="1" applyAlignment="1" applyProtection="1">
      <alignment horizontal="center" vertical="center" wrapText="1" readingOrder="1"/>
    </xf>
    <xf numFmtId="182" fontId="72" fillId="48" borderId="31" xfId="199" applyNumberFormat="1" applyFont="1" applyFill="1" applyBorder="1" applyAlignment="1" applyProtection="1">
      <alignment horizontal="center" vertical="center" readingOrder="1"/>
    </xf>
    <xf numFmtId="0" fontId="72" fillId="51" borderId="51" xfId="200" applyFont="1" applyFill="1" applyBorder="1" applyAlignment="1" applyProtection="1">
      <alignment horizontal="center" vertical="center" wrapText="1" readingOrder="1"/>
    </xf>
    <xf numFmtId="182" fontId="72" fillId="51" borderId="31" xfId="199" applyNumberFormat="1" applyFont="1" applyFill="1" applyBorder="1" applyAlignment="1" applyProtection="1">
      <alignment horizontal="center" vertical="center" readingOrder="1"/>
    </xf>
    <xf numFmtId="0" fontId="69" fillId="29" borderId="1" xfId="200" applyFont="1" applyFill="1" applyBorder="1" applyAlignment="1">
      <alignment horizontal="center" vertical="center"/>
    </xf>
    <xf numFmtId="0" fontId="69" fillId="29" borderId="10" xfId="200" applyFont="1" applyFill="1" applyBorder="1" applyAlignment="1">
      <alignment horizontal="center" vertical="center" wrapText="1" readingOrder="1"/>
    </xf>
    <xf numFmtId="0" fontId="75" fillId="29" borderId="1" xfId="200" applyFont="1" applyFill="1" applyBorder="1" applyAlignment="1">
      <alignment horizontal="center" vertical="center" readingOrder="1"/>
    </xf>
    <xf numFmtId="195" fontId="69" fillId="29" borderId="1" xfId="200" applyNumberFormat="1" applyFont="1" applyFill="1" applyBorder="1" applyAlignment="1">
      <alignment horizontal="center" vertical="center" readingOrder="1"/>
    </xf>
    <xf numFmtId="0" fontId="72" fillId="47" borderId="60" xfId="200" applyFont="1" applyFill="1" applyBorder="1" applyAlignment="1" applyProtection="1">
      <alignment horizontal="center" vertical="center" wrapText="1" readingOrder="1"/>
    </xf>
    <xf numFmtId="182" fontId="72" fillId="47" borderId="62" xfId="199" applyNumberFormat="1" applyFont="1" applyFill="1" applyBorder="1" applyAlignment="1" applyProtection="1">
      <alignment horizontal="center" vertical="center" readingOrder="1"/>
    </xf>
    <xf numFmtId="49" fontId="72" fillId="13" borderId="47" xfId="204" applyNumberFormat="1" applyFont="1" applyFill="1" applyBorder="1" applyAlignment="1">
      <alignment horizontal="center" vertical="center" readingOrder="1"/>
    </xf>
    <xf numFmtId="49" fontId="72" fillId="13" borderId="31" xfId="204" applyNumberFormat="1" applyFont="1" applyFill="1" applyBorder="1" applyAlignment="1">
      <alignment horizontal="center" vertical="center" readingOrder="1"/>
    </xf>
    <xf numFmtId="0" fontId="73" fillId="13" borderId="47" xfId="204" applyFont="1" applyFill="1" applyBorder="1" applyAlignment="1">
      <alignment horizontal="center" vertical="center" wrapText="1" readingOrder="1"/>
    </xf>
    <xf numFmtId="49" fontId="72" fillId="29" borderId="47" xfId="204" applyNumberFormat="1" applyFont="1" applyFill="1" applyBorder="1" applyAlignment="1">
      <alignment horizontal="center" vertical="center" readingOrder="1"/>
    </xf>
    <xf numFmtId="49" fontId="72" fillId="29" borderId="31" xfId="204" applyNumberFormat="1" applyFont="1" applyFill="1" applyBorder="1" applyAlignment="1">
      <alignment horizontal="center" vertical="center" readingOrder="1"/>
    </xf>
    <xf numFmtId="0" fontId="73" fillId="29" borderId="47" xfId="204" applyFont="1" applyFill="1" applyBorder="1" applyAlignment="1">
      <alignment horizontal="center" vertical="center" wrapText="1" readingOrder="1"/>
    </xf>
    <xf numFmtId="49" fontId="72" fillId="5" borderId="47" xfId="204" applyNumberFormat="1" applyFont="1" applyFill="1" applyBorder="1" applyAlignment="1">
      <alignment horizontal="center" vertical="center" readingOrder="1"/>
    </xf>
    <xf numFmtId="49" fontId="72" fillId="5" borderId="31" xfId="204" applyNumberFormat="1" applyFont="1" applyFill="1" applyBorder="1" applyAlignment="1">
      <alignment horizontal="center" vertical="center" readingOrder="1"/>
    </xf>
    <xf numFmtId="0" fontId="73" fillId="5" borderId="47" xfId="204" applyFont="1" applyFill="1" applyBorder="1" applyAlignment="1">
      <alignment horizontal="center" vertical="center" wrapText="1" readingOrder="1"/>
    </xf>
    <xf numFmtId="0" fontId="72" fillId="48" borderId="1" xfId="199" applyFont="1" applyFill="1" applyBorder="1" applyAlignment="1" applyProtection="1">
      <alignment horizontal="center" vertical="center"/>
    </xf>
    <xf numFmtId="0" fontId="72" fillId="48" borderId="1" xfId="200" applyFont="1" applyFill="1" applyBorder="1" applyAlignment="1" applyProtection="1">
      <alignment horizontal="center" vertical="center"/>
    </xf>
    <xf numFmtId="182" fontId="72" fillId="48" borderId="1" xfId="199" applyNumberFormat="1" applyFont="1" applyFill="1" applyBorder="1" applyAlignment="1" applyProtection="1">
      <alignment horizontal="center" vertical="center" readingOrder="1"/>
    </xf>
    <xf numFmtId="49" fontId="72" fillId="11" borderId="47" xfId="204" applyNumberFormat="1" applyFont="1" applyFill="1" applyBorder="1" applyAlignment="1">
      <alignment horizontal="center" vertical="center" readingOrder="1"/>
    </xf>
    <xf numFmtId="49" fontId="72" fillId="11" borderId="31" xfId="204" applyNumberFormat="1" applyFont="1" applyFill="1" applyBorder="1" applyAlignment="1">
      <alignment horizontal="center" vertical="center" readingOrder="1"/>
    </xf>
    <xf numFmtId="0" fontId="72" fillId="46" borderId="1" xfId="199" applyFont="1" applyFill="1" applyBorder="1" applyAlignment="1" applyProtection="1">
      <alignment horizontal="center" vertical="center"/>
    </xf>
    <xf numFmtId="0" fontId="72" fillId="46" borderId="1" xfId="200" applyFont="1" applyFill="1" applyBorder="1" applyAlignment="1" applyProtection="1">
      <alignment horizontal="center" vertical="center"/>
    </xf>
    <xf numFmtId="182" fontId="72" fillId="46" borderId="1" xfId="199" applyNumberFormat="1" applyFont="1" applyFill="1" applyBorder="1" applyAlignment="1" applyProtection="1">
      <alignment horizontal="center" vertical="center" readingOrder="1"/>
    </xf>
    <xf numFmtId="0" fontId="72" fillId="52" borderId="1" xfId="199" applyFont="1" applyFill="1" applyBorder="1" applyAlignment="1" applyProtection="1">
      <alignment horizontal="center" vertical="center"/>
    </xf>
    <xf numFmtId="0" fontId="72" fillId="52" borderId="1" xfId="200" applyFont="1" applyFill="1" applyBorder="1" applyAlignment="1" applyProtection="1">
      <alignment horizontal="center" vertical="center"/>
    </xf>
    <xf numFmtId="182" fontId="72" fillId="52" borderId="1" xfId="199" applyNumberFormat="1" applyFont="1" applyFill="1" applyBorder="1" applyAlignment="1" applyProtection="1">
      <alignment horizontal="center" vertical="center" readingOrder="1"/>
    </xf>
    <xf numFmtId="0" fontId="69" fillId="2" borderId="1" xfId="199" applyFont="1" applyFill="1" applyBorder="1" applyAlignment="1">
      <alignment horizontal="center" vertical="center"/>
    </xf>
    <xf numFmtId="0" fontId="75" fillId="2" borderId="1" xfId="199" applyFont="1" applyFill="1" applyBorder="1" applyAlignment="1">
      <alignment horizontal="center" vertical="center" readingOrder="1"/>
    </xf>
    <xf numFmtId="195" fontId="69" fillId="2" borderId="1" xfId="199" applyNumberFormat="1" applyFont="1" applyFill="1" applyBorder="1" applyAlignment="1">
      <alignment horizontal="center" vertical="center" readingOrder="1"/>
    </xf>
    <xf numFmtId="0" fontId="68" fillId="5" borderId="1" xfId="199" applyFont="1" applyFill="1" applyBorder="1" applyAlignment="1">
      <alignment horizontal="center" vertical="center" wrapText="1" readingOrder="1"/>
    </xf>
    <xf numFmtId="0" fontId="68" fillId="3" borderId="0" xfId="199" applyFont="1" applyFill="1" applyBorder="1" applyAlignment="1">
      <alignment horizontal="center" vertical="center" wrapText="1" readingOrder="1"/>
    </xf>
    <xf numFmtId="0" fontId="68" fillId="5" borderId="0" xfId="199" applyFont="1" applyFill="1" applyBorder="1" applyAlignment="1">
      <alignment horizontal="center" vertical="center" wrapText="1" readingOrder="1"/>
    </xf>
    <xf numFmtId="0" fontId="30" fillId="29" borderId="1" xfId="199" applyNumberFormat="1" applyFont="1" applyFill="1" applyBorder="1" applyAlignment="1">
      <alignment horizontal="center" vertical="center" readingOrder="1"/>
    </xf>
    <xf numFmtId="9" fontId="30" fillId="29" borderId="1" xfId="16" applyFont="1" applyFill="1" applyBorder="1" applyAlignment="1">
      <alignment horizontal="center" vertical="center" readingOrder="1"/>
    </xf>
    <xf numFmtId="189" fontId="30" fillId="29" borderId="1" xfId="16" applyNumberFormat="1" applyFont="1" applyFill="1" applyBorder="1" applyAlignment="1">
      <alignment horizontal="center" vertical="center" readingOrder="1"/>
    </xf>
    <xf numFmtId="176" fontId="30" fillId="29" borderId="1" xfId="199" applyNumberFormat="1" applyFont="1" applyFill="1" applyBorder="1" applyAlignment="1">
      <alignment horizontal="center" vertical="center" wrapText="1" readingOrder="1"/>
    </xf>
    <xf numFmtId="0" fontId="30" fillId="29" borderId="1" xfId="199" applyFont="1" applyFill="1" applyBorder="1" applyAlignment="1">
      <alignment horizontal="center" vertical="center" wrapText="1"/>
    </xf>
    <xf numFmtId="0" fontId="64" fillId="29" borderId="10" xfId="199" applyFont="1" applyFill="1" applyBorder="1" applyAlignment="1">
      <alignment horizontal="center" vertical="center" wrapText="1" readingOrder="1"/>
    </xf>
    <xf numFmtId="9" fontId="30" fillId="29" borderId="1" xfId="199" applyNumberFormat="1" applyFont="1" applyFill="1" applyBorder="1" applyAlignment="1">
      <alignment horizontal="center" vertical="center" readingOrder="1"/>
    </xf>
    <xf numFmtId="9" fontId="56" fillId="44" borderId="1" xfId="16" applyFont="1" applyFill="1" applyBorder="1" applyAlignment="1">
      <alignment horizontal="center" vertical="center" wrapText="1" readingOrder="1"/>
    </xf>
    <xf numFmtId="189" fontId="56" fillId="44" borderId="1" xfId="16" applyNumberFormat="1" applyFont="1" applyFill="1" applyBorder="1" applyAlignment="1">
      <alignment horizontal="center" vertical="center" wrapText="1" readingOrder="1"/>
    </xf>
    <xf numFmtId="0" fontId="72" fillId="44" borderId="1" xfId="204" applyFont="1" applyFill="1" applyBorder="1" applyAlignment="1">
      <alignment horizontal="center" vertical="center"/>
    </xf>
    <xf numFmtId="0" fontId="67" fillId="37" borderId="10" xfId="199" applyFont="1" applyFill="1" applyBorder="1" applyAlignment="1" applyProtection="1">
      <alignment horizontal="center" vertical="center" wrapText="1" readingOrder="1"/>
    </xf>
    <xf numFmtId="9" fontId="56" fillId="45" borderId="1" xfId="16" applyFont="1" applyFill="1" applyBorder="1" applyAlignment="1">
      <alignment horizontal="center" vertical="center" wrapText="1" readingOrder="1"/>
    </xf>
    <xf numFmtId="189" fontId="56" fillId="45" borderId="1" xfId="16" applyNumberFormat="1" applyFont="1" applyFill="1" applyBorder="1" applyAlignment="1">
      <alignment horizontal="center" vertical="center" wrapText="1" readingOrder="1"/>
    </xf>
    <xf numFmtId="0" fontId="72" fillId="45" borderId="1" xfId="204" applyFont="1" applyFill="1" applyBorder="1" applyAlignment="1">
      <alignment horizontal="center" vertical="center"/>
    </xf>
    <xf numFmtId="0" fontId="67" fillId="38" borderId="10" xfId="199" applyFont="1" applyFill="1" applyBorder="1" applyAlignment="1" applyProtection="1">
      <alignment horizontal="center" vertical="center" wrapText="1" readingOrder="1"/>
    </xf>
    <xf numFmtId="0" fontId="30" fillId="5" borderId="1" xfId="200" applyNumberFormat="1" applyFont="1" applyFill="1" applyBorder="1" applyAlignment="1">
      <alignment horizontal="center" vertical="center" readingOrder="1"/>
    </xf>
    <xf numFmtId="9" fontId="30" fillId="5" borderId="1" xfId="16" applyFont="1" applyFill="1" applyBorder="1" applyAlignment="1">
      <alignment horizontal="center" vertical="center" readingOrder="1"/>
    </xf>
    <xf numFmtId="189" fontId="30" fillId="5" borderId="1" xfId="16" applyNumberFormat="1" applyFont="1" applyFill="1" applyBorder="1" applyAlignment="1">
      <alignment horizontal="center" vertical="center" readingOrder="1"/>
    </xf>
    <xf numFmtId="0" fontId="30" fillId="5" borderId="1" xfId="200" applyFont="1" applyFill="1" applyBorder="1" applyAlignment="1">
      <alignment horizontal="center" vertical="center" wrapText="1" readingOrder="1"/>
    </xf>
    <xf numFmtId="0" fontId="30" fillId="5" borderId="1" xfId="200" applyFont="1" applyFill="1" applyBorder="1" applyAlignment="1">
      <alignment horizontal="center" vertical="center" wrapText="1"/>
    </xf>
    <xf numFmtId="0" fontId="61" fillId="38" borderId="10" xfId="199" applyFont="1" applyFill="1" applyBorder="1" applyAlignment="1" applyProtection="1">
      <alignment horizontal="center" vertical="center" wrapText="1" readingOrder="1"/>
    </xf>
    <xf numFmtId="9" fontId="72" fillId="46" borderId="31" xfId="16" applyFont="1" applyFill="1" applyBorder="1" applyAlignment="1" applyProtection="1">
      <alignment horizontal="center" vertical="center" readingOrder="1"/>
    </xf>
    <xf numFmtId="189" fontId="72" fillId="46" borderId="31" xfId="16" applyNumberFormat="1" applyFont="1" applyFill="1" applyBorder="1" applyAlignment="1" applyProtection="1">
      <alignment horizontal="center" vertical="center" readingOrder="1"/>
    </xf>
    <xf numFmtId="0" fontId="72" fillId="46" borderId="31" xfId="199" applyFont="1" applyFill="1" applyBorder="1" applyAlignment="1" applyProtection="1">
      <alignment horizontal="center" vertical="center" wrapText="1"/>
    </xf>
    <xf numFmtId="0" fontId="62" fillId="39" borderId="10" xfId="199" applyFont="1" applyFill="1" applyBorder="1" applyAlignment="1" applyProtection="1">
      <alignment horizontal="center" vertical="center" wrapText="1" readingOrder="1"/>
    </xf>
    <xf numFmtId="196" fontId="72" fillId="47" borderId="31" xfId="199" applyNumberFormat="1" applyFont="1" applyFill="1" applyBorder="1" applyAlignment="1" applyProtection="1">
      <alignment horizontal="center" vertical="center" readingOrder="1"/>
    </xf>
    <xf numFmtId="9" fontId="72" fillId="47" borderId="31" xfId="16" applyFont="1" applyFill="1" applyBorder="1" applyAlignment="1" applyProtection="1">
      <alignment horizontal="center" vertical="center" readingOrder="1"/>
    </xf>
    <xf numFmtId="189" fontId="72" fillId="47" borderId="31" xfId="16" applyNumberFormat="1" applyFont="1" applyFill="1" applyBorder="1" applyAlignment="1" applyProtection="1">
      <alignment horizontal="center" vertical="center" readingOrder="1"/>
    </xf>
    <xf numFmtId="0" fontId="62" fillId="40" borderId="10" xfId="199" applyFont="1" applyFill="1" applyBorder="1" applyAlignment="1" applyProtection="1">
      <alignment horizontal="center" vertical="center" wrapText="1" readingOrder="1"/>
    </xf>
    <xf numFmtId="196" fontId="72" fillId="48" borderId="31" xfId="199" applyNumberFormat="1" applyFont="1" applyFill="1" applyBorder="1" applyAlignment="1" applyProtection="1">
      <alignment horizontal="center" vertical="center" readingOrder="1"/>
    </xf>
    <xf numFmtId="9" fontId="72" fillId="48" borderId="31" xfId="16" applyFont="1" applyFill="1" applyBorder="1" applyAlignment="1" applyProtection="1">
      <alignment horizontal="center" vertical="center" readingOrder="1"/>
    </xf>
    <xf numFmtId="189" fontId="72" fillId="48" borderId="31" xfId="16" applyNumberFormat="1" applyFont="1" applyFill="1" applyBorder="1" applyAlignment="1" applyProtection="1">
      <alignment horizontal="center" vertical="center" readingOrder="1"/>
    </xf>
    <xf numFmtId="0" fontId="58" fillId="37" borderId="10" xfId="199" applyFont="1" applyFill="1" applyBorder="1" applyAlignment="1" applyProtection="1">
      <alignment horizontal="center" vertical="center" wrapText="1" readingOrder="1"/>
    </xf>
    <xf numFmtId="0" fontId="62" fillId="37" borderId="10" xfId="199" applyFont="1" applyFill="1" applyBorder="1" applyAlignment="1" applyProtection="1">
      <alignment horizontal="center" vertical="center" wrapText="1" readingOrder="1"/>
    </xf>
    <xf numFmtId="196" fontId="72" fillId="51" borderId="31" xfId="199" applyNumberFormat="1" applyFont="1" applyFill="1" applyBorder="1" applyAlignment="1" applyProtection="1">
      <alignment horizontal="center" vertical="center" readingOrder="1"/>
    </xf>
    <xf numFmtId="9" fontId="72" fillId="51" borderId="31" xfId="16" applyFont="1" applyFill="1" applyBorder="1" applyAlignment="1" applyProtection="1">
      <alignment horizontal="center" vertical="center" readingOrder="1"/>
    </xf>
    <xf numFmtId="189" fontId="72" fillId="51" borderId="31" xfId="16" applyNumberFormat="1" applyFont="1" applyFill="1" applyBorder="1" applyAlignment="1" applyProtection="1">
      <alignment horizontal="center" vertical="center" readingOrder="1"/>
    </xf>
    <xf numFmtId="0" fontId="64" fillId="41" borderId="10" xfId="199" applyFont="1" applyFill="1" applyBorder="1" applyAlignment="1" applyProtection="1">
      <alignment horizontal="center" vertical="center" wrapText="1" readingOrder="1"/>
    </xf>
    <xf numFmtId="0" fontId="30" fillId="29" borderId="1" xfId="200" applyNumberFormat="1" applyFont="1" applyFill="1" applyBorder="1" applyAlignment="1">
      <alignment horizontal="center" vertical="center" readingOrder="1"/>
    </xf>
    <xf numFmtId="176" fontId="30" fillId="29" borderId="1" xfId="200" applyNumberFormat="1" applyFont="1" applyFill="1" applyBorder="1" applyAlignment="1">
      <alignment horizontal="center" vertical="center" wrapText="1" readingOrder="1"/>
    </xf>
    <xf numFmtId="0" fontId="30" fillId="29" borderId="1" xfId="200" applyFont="1" applyFill="1" applyBorder="1" applyAlignment="1">
      <alignment horizontal="center" vertical="center" wrapText="1"/>
    </xf>
    <xf numFmtId="0" fontId="61" fillId="37" borderId="10" xfId="199" applyFont="1" applyFill="1" applyBorder="1" applyAlignment="1" applyProtection="1">
      <alignment horizontal="center" vertical="center" wrapText="1" readingOrder="1"/>
    </xf>
    <xf numFmtId="0" fontId="60" fillId="40" borderId="10" xfId="199" applyFont="1" applyFill="1" applyBorder="1" applyAlignment="1" applyProtection="1">
      <alignment horizontal="center" vertical="center" wrapText="1" readingOrder="1"/>
    </xf>
    <xf numFmtId="196" fontId="72" fillId="47" borderId="62" xfId="199" applyNumberFormat="1" applyFont="1" applyFill="1" applyBorder="1" applyAlignment="1" applyProtection="1">
      <alignment horizontal="center" vertical="center" readingOrder="1"/>
    </xf>
    <xf numFmtId="9" fontId="72" fillId="47" borderId="62" xfId="16" applyFont="1" applyFill="1" applyBorder="1" applyAlignment="1" applyProtection="1">
      <alignment horizontal="center" vertical="center" readingOrder="1"/>
    </xf>
    <xf numFmtId="189" fontId="72" fillId="47" borderId="62" xfId="16" applyNumberFormat="1" applyFont="1" applyFill="1" applyBorder="1" applyAlignment="1" applyProtection="1">
      <alignment horizontal="center" vertical="center" readingOrder="1"/>
    </xf>
    <xf numFmtId="9" fontId="56" fillId="13" borderId="47" xfId="16" applyFont="1" applyFill="1" applyBorder="1" applyAlignment="1">
      <alignment horizontal="center" vertical="center" wrapText="1" readingOrder="1"/>
    </xf>
    <xf numFmtId="189" fontId="56" fillId="13" borderId="47" xfId="16" applyNumberFormat="1" applyFont="1" applyFill="1" applyBorder="1" applyAlignment="1">
      <alignment horizontal="center" vertical="center" wrapText="1" readingOrder="1"/>
    </xf>
    <xf numFmtId="1" fontId="76" fillId="13" borderId="47" xfId="204" applyNumberFormat="1" applyFont="1" applyFill="1" applyBorder="1" applyAlignment="1">
      <alignment horizontal="center" vertical="center" wrapText="1" readingOrder="1"/>
    </xf>
    <xf numFmtId="0" fontId="61" fillId="13" borderId="0" xfId="200" applyFont="1" applyFill="1" applyBorder="1" applyAlignment="1" applyProtection="1">
      <alignment horizontal="center" vertical="center" wrapText="1" readingOrder="1"/>
    </xf>
    <xf numFmtId="9" fontId="56" fillId="29" borderId="47" xfId="16" applyFont="1" applyFill="1" applyBorder="1" applyAlignment="1">
      <alignment horizontal="center" vertical="center" wrapText="1" readingOrder="1"/>
    </xf>
    <xf numFmtId="189" fontId="56" fillId="29" borderId="47" xfId="16" applyNumberFormat="1" applyFont="1" applyFill="1" applyBorder="1" applyAlignment="1">
      <alignment horizontal="center" vertical="center" wrapText="1" readingOrder="1"/>
    </xf>
    <xf numFmtId="0" fontId="72" fillId="29" borderId="31" xfId="204" applyFont="1" applyFill="1" applyBorder="1" applyAlignment="1">
      <alignment horizontal="center" vertical="center"/>
    </xf>
    <xf numFmtId="0" fontId="67" fillId="29" borderId="0" xfId="200" applyFont="1" applyFill="1" applyBorder="1" applyAlignment="1" applyProtection="1">
      <alignment horizontal="center" vertical="center" wrapText="1" readingOrder="1"/>
    </xf>
    <xf numFmtId="9" fontId="56" fillId="5" borderId="47" xfId="16" applyFont="1" applyFill="1" applyBorder="1" applyAlignment="1">
      <alignment horizontal="center" vertical="center" wrapText="1" readingOrder="1"/>
    </xf>
    <xf numFmtId="189" fontId="56" fillId="5" borderId="47" xfId="16" applyNumberFormat="1" applyFont="1" applyFill="1" applyBorder="1" applyAlignment="1">
      <alignment horizontal="center" vertical="center" wrapText="1" readingOrder="1"/>
    </xf>
    <xf numFmtId="0" fontId="72" fillId="5" borderId="31" xfId="204" applyFont="1" applyFill="1" applyBorder="1" applyAlignment="1">
      <alignment horizontal="center" vertical="center"/>
    </xf>
    <xf numFmtId="0" fontId="61" fillId="5" borderId="0" xfId="200" applyFont="1" applyFill="1" applyBorder="1" applyAlignment="1" applyProtection="1">
      <alignment horizontal="center" vertical="center" wrapText="1" readingOrder="1"/>
    </xf>
    <xf numFmtId="0" fontId="67" fillId="5" borderId="0" xfId="200" applyFont="1" applyFill="1" applyBorder="1" applyAlignment="1" applyProtection="1">
      <alignment horizontal="center" vertical="center" wrapText="1" readingOrder="1"/>
    </xf>
    <xf numFmtId="9" fontId="72" fillId="48" borderId="1" xfId="16" applyFont="1" applyFill="1" applyBorder="1" applyAlignment="1" applyProtection="1">
      <alignment horizontal="center" vertical="center" readingOrder="1"/>
    </xf>
    <xf numFmtId="189" fontId="72" fillId="48" borderId="1" xfId="16" applyNumberFormat="1" applyFont="1" applyFill="1" applyBorder="1" applyAlignment="1" applyProtection="1">
      <alignment horizontal="center" vertical="center" readingOrder="1"/>
    </xf>
    <xf numFmtId="0" fontId="72" fillId="48" borderId="1" xfId="199" applyFont="1" applyFill="1" applyBorder="1" applyAlignment="1" applyProtection="1">
      <alignment horizontal="center" vertical="center" wrapText="1"/>
    </xf>
    <xf numFmtId="0" fontId="70" fillId="29" borderId="1" xfId="200" applyFont="1" applyFill="1" applyBorder="1" applyAlignment="1">
      <alignment horizontal="center" vertical="center"/>
    </xf>
    <xf numFmtId="9" fontId="56" fillId="0" borderId="47" xfId="16" applyFont="1" applyFill="1" applyBorder="1" applyAlignment="1">
      <alignment horizontal="center" vertical="center" wrapText="1" readingOrder="1"/>
    </xf>
    <xf numFmtId="189" fontId="56" fillId="0" borderId="47" xfId="16" applyNumberFormat="1" applyFont="1" applyFill="1" applyBorder="1" applyAlignment="1">
      <alignment horizontal="center" vertical="center" wrapText="1" readingOrder="1"/>
    </xf>
    <xf numFmtId="0" fontId="72" fillId="0" borderId="31" xfId="204" applyFont="1" applyFill="1" applyBorder="1" applyAlignment="1">
      <alignment horizontal="center" vertical="center"/>
    </xf>
    <xf numFmtId="0" fontId="70" fillId="0" borderId="1" xfId="200" applyFont="1" applyFill="1" applyBorder="1" applyAlignment="1">
      <alignment horizontal="center" vertical="center"/>
    </xf>
    <xf numFmtId="176" fontId="72" fillId="46" borderId="1" xfId="199" applyNumberFormat="1" applyFont="1" applyFill="1" applyBorder="1" applyAlignment="1" applyProtection="1">
      <alignment horizontal="center" vertical="center" readingOrder="1"/>
    </xf>
    <xf numFmtId="9" fontId="72" fillId="46" borderId="1" xfId="16" applyFont="1" applyFill="1" applyBorder="1" applyAlignment="1" applyProtection="1">
      <alignment horizontal="center" vertical="center" readingOrder="1"/>
    </xf>
    <xf numFmtId="189" fontId="72" fillId="46" borderId="1" xfId="16" applyNumberFormat="1" applyFont="1" applyFill="1" applyBorder="1" applyAlignment="1" applyProtection="1">
      <alignment horizontal="center" vertical="center" readingOrder="1"/>
    </xf>
    <xf numFmtId="0" fontId="72" fillId="46" borderId="1" xfId="199" applyFont="1" applyFill="1" applyBorder="1" applyAlignment="1" applyProtection="1">
      <alignment horizontal="center" vertical="center" wrapText="1"/>
    </xf>
    <xf numFmtId="0" fontId="60" fillId="39" borderId="10" xfId="199" applyFont="1" applyFill="1" applyBorder="1" applyAlignment="1" applyProtection="1">
      <alignment horizontal="center" vertical="center" wrapText="1" readingOrder="1"/>
    </xf>
    <xf numFmtId="9" fontId="72" fillId="52" borderId="1" xfId="16" applyFont="1" applyFill="1" applyBorder="1" applyAlignment="1" applyProtection="1">
      <alignment horizontal="center" vertical="center" readingOrder="1"/>
    </xf>
    <xf numFmtId="189" fontId="72" fillId="52" borderId="1" xfId="16" applyNumberFormat="1" applyFont="1" applyFill="1" applyBorder="1" applyAlignment="1" applyProtection="1">
      <alignment horizontal="center" vertical="center" readingOrder="1"/>
    </xf>
    <xf numFmtId="0" fontId="72" fillId="52" borderId="1" xfId="199" applyFont="1" applyFill="1" applyBorder="1" applyAlignment="1" applyProtection="1">
      <alignment horizontal="center" vertical="center" wrapText="1"/>
    </xf>
    <xf numFmtId="0" fontId="67" fillId="42" borderId="10" xfId="199" applyFont="1" applyFill="1" applyBorder="1" applyAlignment="1" applyProtection="1">
      <alignment horizontal="center" vertical="center" wrapText="1" readingOrder="1"/>
    </xf>
    <xf numFmtId="0" fontId="30" fillId="2" borderId="1" xfId="199" applyNumberFormat="1" applyFont="1" applyFill="1" applyBorder="1" applyAlignment="1">
      <alignment horizontal="center" vertical="center" readingOrder="1"/>
    </xf>
    <xf numFmtId="9" fontId="30" fillId="2" borderId="1" xfId="16" applyFont="1" applyFill="1" applyBorder="1" applyAlignment="1">
      <alignment horizontal="center" vertical="center" readingOrder="1"/>
    </xf>
    <xf numFmtId="0" fontId="30" fillId="2" borderId="1" xfId="199" applyFont="1" applyFill="1" applyBorder="1" applyAlignment="1">
      <alignment horizontal="center" vertical="center" wrapText="1"/>
    </xf>
    <xf numFmtId="0" fontId="53" fillId="29" borderId="1" xfId="199" applyFont="1" applyFill="1" applyBorder="1"/>
    <xf numFmtId="0" fontId="54" fillId="37" borderId="1" xfId="199" applyFont="1" applyFill="1" applyBorder="1" applyAlignment="1" applyProtection="1"/>
    <xf numFmtId="0" fontId="54" fillId="38" borderId="1" xfId="199" applyFont="1" applyFill="1" applyBorder="1" applyAlignment="1" applyProtection="1"/>
    <xf numFmtId="0" fontId="53" fillId="5" borderId="1" xfId="200" applyFont="1" applyFill="1" applyBorder="1"/>
    <xf numFmtId="0" fontId="54" fillId="39" borderId="1" xfId="199" applyFont="1" applyFill="1" applyBorder="1" applyAlignment="1" applyProtection="1"/>
    <xf numFmtId="0" fontId="54" fillId="40" borderId="1" xfId="199" applyFont="1" applyFill="1" applyBorder="1" applyAlignment="1" applyProtection="1">
      <alignment wrapText="1"/>
    </xf>
    <xf numFmtId="0" fontId="54" fillId="37" borderId="1" xfId="200" applyFont="1" applyFill="1" applyBorder="1" applyAlignment="1" applyProtection="1"/>
    <xf numFmtId="0" fontId="54" fillId="41" borderId="1" xfId="200" applyFont="1" applyFill="1" applyBorder="1" applyAlignment="1" applyProtection="1"/>
    <xf numFmtId="0" fontId="53" fillId="29" borderId="1" xfId="200" applyFont="1" applyFill="1" applyBorder="1"/>
    <xf numFmtId="0" fontId="52" fillId="13" borderId="1" xfId="199" applyFont="1" applyFill="1" applyBorder="1" applyAlignment="1">
      <alignment horizontal="center" wrapText="1"/>
    </xf>
    <xf numFmtId="0" fontId="52" fillId="13" borderId="1" xfId="199" applyFont="1" applyFill="1" applyBorder="1" applyAlignment="1">
      <alignment horizontal="center"/>
    </xf>
    <xf numFmtId="0" fontId="71" fillId="13" borderId="1" xfId="200" applyFont="1" applyFill="1" applyBorder="1" applyAlignment="1" applyProtection="1">
      <alignment vertical="center"/>
    </xf>
    <xf numFmtId="0" fontId="71" fillId="29" borderId="1" xfId="200" applyFont="1" applyFill="1" applyBorder="1" applyAlignment="1" applyProtection="1">
      <alignment vertical="center"/>
    </xf>
    <xf numFmtId="0" fontId="71" fillId="5" borderId="1" xfId="200" applyFont="1" applyFill="1" applyBorder="1" applyAlignment="1" applyProtection="1">
      <alignment vertical="center"/>
    </xf>
    <xf numFmtId="0" fontId="71" fillId="29" borderId="0" xfId="200" applyFont="1" applyFill="1" applyAlignment="1" applyProtection="1">
      <alignment vertical="center"/>
    </xf>
    <xf numFmtId="0" fontId="71" fillId="0" borderId="0" xfId="200" applyFont="1" applyFill="1" applyAlignment="1" applyProtection="1">
      <alignment vertical="center"/>
    </xf>
    <xf numFmtId="0" fontId="54" fillId="42" borderId="1" xfId="199" applyFont="1" applyFill="1" applyBorder="1" applyAlignment="1" applyProtection="1"/>
    <xf numFmtId="0" fontId="53" fillId="2" borderId="1" xfId="199" applyFont="1" applyFill="1" applyBorder="1"/>
    <xf numFmtId="0" fontId="30" fillId="2" borderId="0" xfId="199" applyFont="1" applyFill="1" applyAlignment="1">
      <alignment horizontal="center" vertical="center"/>
    </xf>
    <xf numFmtId="0" fontId="30" fillId="2" borderId="0" xfId="199" applyFont="1" applyFill="1" applyAlignment="1">
      <alignment vertical="center" wrapText="1"/>
    </xf>
    <xf numFmtId="0" fontId="9" fillId="0" borderId="0" xfId="187"/>
    <xf numFmtId="0" fontId="9" fillId="0" borderId="0" xfId="187" applyAlignment="1">
      <alignment horizontal="center"/>
    </xf>
    <xf numFmtId="0" fontId="9" fillId="7" borderId="2" xfId="187" applyFill="1" applyBorder="1" applyAlignment="1">
      <alignment horizontal="center" vertical="center"/>
    </xf>
    <xf numFmtId="0" fontId="9" fillId="7" borderId="10" xfId="187" applyFill="1" applyBorder="1" applyAlignment="1">
      <alignment horizontal="center" vertical="center"/>
    </xf>
    <xf numFmtId="0" fontId="9" fillId="7" borderId="12" xfId="187" applyFill="1" applyBorder="1" applyAlignment="1">
      <alignment horizontal="center" vertical="center"/>
    </xf>
    <xf numFmtId="0" fontId="9" fillId="4" borderId="125" xfId="187" applyFill="1" applyBorder="1" applyAlignment="1">
      <alignment horizontal="center"/>
    </xf>
    <xf numFmtId="0" fontId="9" fillId="4" borderId="0" xfId="187" applyFill="1" applyBorder="1" applyAlignment="1">
      <alignment horizontal="center"/>
    </xf>
    <xf numFmtId="0" fontId="9" fillId="7" borderId="4" xfId="187" applyFill="1" applyBorder="1" applyAlignment="1">
      <alignment horizontal="center" vertical="center"/>
    </xf>
    <xf numFmtId="0" fontId="9" fillId="4" borderId="10" xfId="187" applyFill="1" applyBorder="1" applyAlignment="1">
      <alignment horizontal="center"/>
    </xf>
    <xf numFmtId="0" fontId="9" fillId="4" borderId="11" xfId="187" applyFill="1" applyBorder="1" applyAlignment="1">
      <alignment horizontal="center"/>
    </xf>
    <xf numFmtId="0" fontId="9" fillId="4" borderId="12" xfId="187" applyFill="1" applyBorder="1" applyAlignment="1">
      <alignment horizontal="center"/>
    </xf>
    <xf numFmtId="0" fontId="9" fillId="7" borderId="1" xfId="187" applyFill="1" applyBorder="1" applyAlignment="1">
      <alignment horizontal="center" vertical="center"/>
    </xf>
    <xf numFmtId="0" fontId="9" fillId="7" borderId="1" xfId="187" applyFill="1" applyBorder="1"/>
    <xf numFmtId="10" fontId="9" fillId="7" borderId="1" xfId="187" applyNumberFormat="1" applyFill="1" applyBorder="1"/>
    <xf numFmtId="0" fontId="9" fillId="7" borderId="1" xfId="187" applyFill="1" applyBorder="1" applyAlignment="1">
      <alignment horizontal="center"/>
    </xf>
    <xf numFmtId="0" fontId="9" fillId="4" borderId="1" xfId="187" applyFill="1" applyBorder="1" applyAlignment="1">
      <alignment horizontal="center"/>
    </xf>
    <xf numFmtId="0" fontId="9" fillId="16" borderId="1" xfId="187" applyFill="1" applyBorder="1"/>
    <xf numFmtId="180" fontId="9" fillId="0" borderId="10" xfId="187" applyNumberFormat="1" applyFill="1" applyBorder="1" applyAlignment="1">
      <alignment horizontal="center"/>
    </xf>
    <xf numFmtId="0" fontId="9" fillId="0" borderId="12" xfId="187" applyFill="1" applyBorder="1" applyAlignment="1">
      <alignment horizontal="center"/>
    </xf>
    <xf numFmtId="10" fontId="9" fillId="7" borderId="1" xfId="187" applyNumberFormat="1" applyFill="1" applyBorder="1" applyAlignment="1">
      <alignment horizontal="center" vertical="center"/>
    </xf>
    <xf numFmtId="10" fontId="9" fillId="0" borderId="10" xfId="187" applyNumberFormat="1" applyBorder="1" applyAlignment="1">
      <alignment horizontal="center"/>
    </xf>
    <xf numFmtId="10" fontId="9" fillId="0" borderId="11" xfId="187" applyNumberFormat="1" applyBorder="1" applyAlignment="1">
      <alignment horizontal="center"/>
    </xf>
    <xf numFmtId="10" fontId="9" fillId="0" borderId="12" xfId="187" applyNumberFormat="1" applyBorder="1" applyAlignment="1">
      <alignment horizontal="center"/>
    </xf>
    <xf numFmtId="186" fontId="9" fillId="0" borderId="10" xfId="187" applyNumberFormat="1" applyBorder="1" applyAlignment="1">
      <alignment horizontal="center"/>
    </xf>
    <xf numFmtId="10" fontId="9" fillId="7" borderId="10" xfId="187" applyNumberFormat="1" applyFill="1" applyBorder="1" applyAlignment="1">
      <alignment horizontal="center" vertical="center"/>
    </xf>
    <xf numFmtId="10" fontId="9" fillId="7" borderId="12" xfId="187" applyNumberFormat="1" applyFill="1" applyBorder="1" applyAlignment="1">
      <alignment horizontal="center" vertical="center"/>
    </xf>
    <xf numFmtId="0" fontId="9" fillId="0" borderId="12" xfId="187" applyBorder="1" applyAlignment="1">
      <alignment horizontal="center"/>
    </xf>
    <xf numFmtId="49" fontId="9" fillId="7" borderId="10" xfId="187" applyNumberFormat="1" applyFill="1" applyBorder="1" applyAlignment="1">
      <alignment horizontal="center" vertical="center"/>
    </xf>
    <xf numFmtId="49" fontId="9" fillId="0" borderId="10" xfId="187" applyNumberFormat="1" applyBorder="1" applyAlignment="1">
      <alignment horizontal="center"/>
    </xf>
    <xf numFmtId="187" fontId="9" fillId="0" borderId="10" xfId="187" applyNumberFormat="1" applyBorder="1" applyAlignment="1">
      <alignment horizontal="center"/>
    </xf>
    <xf numFmtId="187" fontId="9" fillId="0" borderId="11" xfId="187" applyNumberFormat="1" applyBorder="1" applyAlignment="1">
      <alignment horizontal="center"/>
    </xf>
    <xf numFmtId="187" fontId="9" fillId="0" borderId="12" xfId="187" applyNumberFormat="1" applyBorder="1" applyAlignment="1">
      <alignment horizontal="center"/>
    </xf>
    <xf numFmtId="0" fontId="9" fillId="29" borderId="10" xfId="280" applyFont="1" applyFill="1" applyBorder="1" applyAlignment="1">
      <alignment horizontal="center" vertical="center"/>
    </xf>
    <xf numFmtId="0" fontId="9" fillId="29" borderId="11" xfId="280" applyFont="1" applyFill="1" applyBorder="1" applyAlignment="1">
      <alignment horizontal="center" vertical="center"/>
    </xf>
    <xf numFmtId="0" fontId="9" fillId="29" borderId="12" xfId="280" applyFont="1" applyFill="1" applyBorder="1" applyAlignment="1">
      <alignment horizontal="center" vertical="center"/>
    </xf>
    <xf numFmtId="0" fontId="9" fillId="0" borderId="0" xfId="197" applyAlignment="1">
      <alignment horizontal="center" vertical="center"/>
    </xf>
    <xf numFmtId="0" fontId="9" fillId="13" borderId="1" xfId="187" applyFill="1" applyBorder="1" applyAlignment="1">
      <alignment horizontal="center"/>
    </xf>
    <xf numFmtId="0" fontId="9" fillId="0" borderId="2" xfId="187" applyBorder="1" applyAlignment="1">
      <alignment horizontal="center" vertical="center"/>
    </xf>
    <xf numFmtId="0" fontId="9" fillId="0" borderId="10" xfId="187" applyBorder="1" applyAlignment="1">
      <alignment horizontal="center" vertical="center"/>
    </xf>
    <xf numFmtId="0" fontId="9" fillId="0" borderId="11" xfId="187" applyBorder="1" applyAlignment="1">
      <alignment horizontal="center" vertical="center"/>
    </xf>
    <xf numFmtId="0" fontId="9" fillId="0" borderId="4" xfId="187" applyBorder="1" applyAlignment="1">
      <alignment horizontal="center" vertical="center"/>
    </xf>
    <xf numFmtId="0" fontId="9" fillId="0" borderId="1" xfId="187" applyBorder="1" applyAlignment="1">
      <alignment horizontal="center" vertical="center"/>
    </xf>
    <xf numFmtId="0" fontId="9" fillId="4" borderId="1" xfId="187" applyFill="1" applyBorder="1" applyAlignment="1">
      <alignment horizontal="center" vertical="center"/>
    </xf>
    <xf numFmtId="10" fontId="9" fillId="4" borderId="1" xfId="187" applyNumberFormat="1" applyFill="1" applyBorder="1" applyAlignment="1">
      <alignment horizontal="center" vertical="center"/>
    </xf>
    <xf numFmtId="10" fontId="9" fillId="0" borderId="1" xfId="187" applyNumberFormat="1" applyBorder="1" applyAlignment="1">
      <alignment horizontal="center" vertical="center"/>
    </xf>
    <xf numFmtId="0" fontId="73" fillId="58" borderId="1" xfId="187" applyFont="1" applyFill="1" applyBorder="1" applyAlignment="1">
      <alignment horizontal="center" vertical="center" wrapText="1" readingOrder="1"/>
    </xf>
    <xf numFmtId="9" fontId="9" fillId="0" borderId="1" xfId="187" applyNumberFormat="1" applyBorder="1" applyAlignment="1">
      <alignment horizontal="center" vertical="center"/>
    </xf>
    <xf numFmtId="0" fontId="77" fillId="0" borderId="110" xfId="187" applyFont="1" applyBorder="1" applyAlignment="1">
      <alignment horizontal="center" vertical="center" readingOrder="1"/>
    </xf>
    <xf numFmtId="0" fontId="77" fillId="0" borderId="126" xfId="187" applyFont="1" applyBorder="1" applyAlignment="1">
      <alignment horizontal="center" vertical="center" readingOrder="1"/>
    </xf>
    <xf numFmtId="0" fontId="77" fillId="0" borderId="124" xfId="187" applyFont="1" applyBorder="1" applyAlignment="1">
      <alignment horizontal="center" vertical="center" readingOrder="1"/>
    </xf>
    <xf numFmtId="0" fontId="77" fillId="0" borderId="104" xfId="187" applyFont="1" applyBorder="1" applyAlignment="1">
      <alignment horizontal="center" vertical="center" readingOrder="1"/>
    </xf>
    <xf numFmtId="0" fontId="78" fillId="58" borderId="1" xfId="187" applyFont="1" applyFill="1" applyBorder="1" applyAlignment="1">
      <alignment horizontal="center" vertical="center" wrapText="1" readingOrder="1"/>
    </xf>
    <xf numFmtId="0" fontId="78" fillId="4" borderId="1" xfId="187" applyFont="1" applyFill="1" applyBorder="1" applyAlignment="1">
      <alignment horizontal="center" vertical="center" wrapText="1" readingOrder="1"/>
    </xf>
    <xf numFmtId="0" fontId="78" fillId="58" borderId="1" xfId="187" applyFont="1" applyFill="1" applyBorder="1" applyAlignment="1">
      <alignment horizontal="center" wrapText="1" readingOrder="1"/>
    </xf>
    <xf numFmtId="0" fontId="9" fillId="0" borderId="12" xfId="187" applyBorder="1" applyAlignment="1">
      <alignment horizontal="center" vertical="center"/>
    </xf>
    <xf numFmtId="0" fontId="9" fillId="0" borderId="0" xfId="187" applyBorder="1" applyAlignment="1">
      <alignment horizontal="center" vertical="center"/>
    </xf>
    <xf numFmtId="49" fontId="9" fillId="4" borderId="1" xfId="187" applyNumberFormat="1" applyFill="1" applyBorder="1" applyAlignment="1">
      <alignment horizontal="center" vertical="center"/>
    </xf>
    <xf numFmtId="10" fontId="9" fillId="0" borderId="1" xfId="187" applyNumberFormat="1" applyFill="1" applyBorder="1" applyAlignment="1">
      <alignment horizontal="center" vertical="center"/>
    </xf>
    <xf numFmtId="49" fontId="9" fillId="0" borderId="1" xfId="187" applyNumberFormat="1" applyBorder="1" applyAlignment="1">
      <alignment horizontal="center" vertical="center"/>
    </xf>
    <xf numFmtId="0" fontId="9" fillId="2" borderId="1" xfId="187" applyFill="1" applyBorder="1" applyAlignment="1">
      <alignment horizontal="center" vertical="center"/>
    </xf>
    <xf numFmtId="10" fontId="9" fillId="2" borderId="1" xfId="187" applyNumberFormat="1" applyFill="1" applyBorder="1" applyAlignment="1">
      <alignment horizontal="center" vertical="center"/>
    </xf>
    <xf numFmtId="10" fontId="78" fillId="4" borderId="1" xfId="187" applyNumberFormat="1" applyFont="1" applyFill="1" applyBorder="1" applyAlignment="1">
      <alignment horizontal="center" vertical="center" wrapText="1" readingOrder="1"/>
    </xf>
    <xf numFmtId="10" fontId="78" fillId="0" borderId="1" xfId="187" applyNumberFormat="1" applyFont="1" applyBorder="1" applyAlignment="1">
      <alignment horizontal="center" vertical="center" wrapText="1" readingOrder="1"/>
    </xf>
    <xf numFmtId="10" fontId="78" fillId="2" borderId="1" xfId="187" applyNumberFormat="1" applyFont="1" applyFill="1" applyBorder="1" applyAlignment="1">
      <alignment horizontal="center" vertical="center" wrapText="1" readingOrder="1"/>
    </xf>
    <xf numFmtId="0" fontId="78" fillId="0" borderId="1" xfId="187" applyFont="1" applyBorder="1" applyAlignment="1">
      <alignment horizontal="center" vertical="center" wrapText="1" readingOrder="1"/>
    </xf>
    <xf numFmtId="0" fontId="77" fillId="2" borderId="1" xfId="187" applyFont="1" applyFill="1" applyBorder="1" applyAlignment="1">
      <alignment horizontal="center" vertical="center" wrapText="1" readingOrder="1"/>
    </xf>
    <xf numFmtId="0" fontId="9" fillId="0" borderId="1" xfId="187" applyFill="1" applyBorder="1" applyAlignment="1">
      <alignment horizontal="center" vertical="center"/>
    </xf>
    <xf numFmtId="0" fontId="9" fillId="0" borderId="1" xfId="187" applyBorder="1"/>
    <xf numFmtId="188" fontId="9" fillId="4" borderId="1" xfId="187" applyNumberFormat="1" applyFill="1" applyBorder="1" applyAlignment="1">
      <alignment horizontal="center" vertical="center"/>
    </xf>
    <xf numFmtId="188" fontId="9" fillId="2" borderId="1" xfId="187" applyNumberFormat="1" applyFill="1" applyBorder="1" applyAlignment="1">
      <alignment horizontal="center" vertical="center"/>
    </xf>
    <xf numFmtId="0" fontId="9" fillId="0" borderId="1" xfId="187" applyBorder="1" applyAlignment="1">
      <alignment horizontal="center"/>
    </xf>
    <xf numFmtId="49" fontId="9" fillId="4" borderId="1" xfId="187" applyNumberFormat="1" applyFill="1" applyBorder="1" applyAlignment="1">
      <alignment horizontal="center"/>
    </xf>
    <xf numFmtId="49" fontId="9" fillId="0" borderId="1" xfId="187" applyNumberFormat="1" applyBorder="1" applyAlignment="1">
      <alignment horizontal="center"/>
    </xf>
    <xf numFmtId="0" fontId="77" fillId="0" borderId="90" xfId="187" applyFont="1" applyBorder="1" applyAlignment="1">
      <alignment horizontal="center" vertical="center" readingOrder="1"/>
    </xf>
    <xf numFmtId="0" fontId="77" fillId="0" borderId="1" xfId="187" applyFont="1" applyBorder="1" applyAlignment="1">
      <alignment vertical="center" readingOrder="1"/>
    </xf>
    <xf numFmtId="0" fontId="77" fillId="0" borderId="6" xfId="187" applyFont="1" applyBorder="1" applyAlignment="1">
      <alignment horizontal="center" vertical="center" readingOrder="1"/>
    </xf>
    <xf numFmtId="0" fontId="77" fillId="0" borderId="1" xfId="187" applyFont="1" applyBorder="1" applyAlignment="1">
      <alignment horizontal="center" vertical="center" readingOrder="1"/>
    </xf>
    <xf numFmtId="10" fontId="77" fillId="0" borderId="1" xfId="187" applyNumberFormat="1" applyFont="1" applyBorder="1" applyAlignment="1">
      <alignment vertical="center" readingOrder="1"/>
    </xf>
    <xf numFmtId="0" fontId="78" fillId="2" borderId="1" xfId="187" applyFont="1" applyFill="1" applyBorder="1" applyAlignment="1">
      <alignment horizontal="center" vertical="center" wrapText="1" readingOrder="1"/>
    </xf>
    <xf numFmtId="10" fontId="77" fillId="0" borderId="1" xfId="187" applyNumberFormat="1" applyFont="1" applyBorder="1" applyAlignment="1">
      <alignment horizontal="center" vertical="center" readingOrder="1"/>
    </xf>
    <xf numFmtId="0" fontId="77" fillId="7" borderId="1" xfId="187" applyFont="1" applyFill="1" applyBorder="1" applyAlignment="1">
      <alignment horizontal="center" vertical="center" readingOrder="1"/>
    </xf>
    <xf numFmtId="10" fontId="77" fillId="2" borderId="1" xfId="31" applyNumberFormat="1" applyFont="1" applyFill="1" applyBorder="1" applyAlignment="1">
      <alignment horizontal="center" vertical="center" readingOrder="1"/>
    </xf>
    <xf numFmtId="0" fontId="77" fillId="2" borderId="1" xfId="187" applyFont="1" applyFill="1" applyBorder="1" applyAlignment="1">
      <alignment horizontal="center" vertical="center" readingOrder="1"/>
    </xf>
    <xf numFmtId="0" fontId="77" fillId="2" borderId="1" xfId="187" applyFont="1" applyFill="1" applyBorder="1" applyAlignment="1">
      <alignment vertical="center" readingOrder="1"/>
    </xf>
    <xf numFmtId="0" fontId="9" fillId="0" borderId="0" xfId="197">
      <alignment vertical="center"/>
    </xf>
    <xf numFmtId="0" fontId="79" fillId="0" borderId="1" xfId="187" applyFont="1" applyBorder="1" applyAlignment="1">
      <alignment horizontal="center" vertical="center"/>
    </xf>
    <xf numFmtId="0" fontId="79" fillId="6" borderId="1" xfId="187" applyFont="1" applyFill="1" applyBorder="1" applyAlignment="1">
      <alignment horizontal="center" vertical="center"/>
    </xf>
    <xf numFmtId="0" fontId="79" fillId="5" borderId="1" xfId="187" applyFont="1" applyFill="1" applyBorder="1" applyAlignment="1">
      <alignment horizontal="center" vertical="center"/>
    </xf>
    <xf numFmtId="0" fontId="41" fillId="0" borderId="1" xfId="187" applyFont="1" applyBorder="1" applyAlignment="1">
      <alignment horizontal="center" vertical="center"/>
    </xf>
    <xf numFmtId="0" fontId="41" fillId="6" borderId="1" xfId="187" applyFont="1" applyFill="1" applyBorder="1" applyAlignment="1">
      <alignment horizontal="center" vertical="center"/>
    </xf>
    <xf numFmtId="0" fontId="41" fillId="6" borderId="10" xfId="187" applyFont="1" applyFill="1" applyBorder="1" applyAlignment="1">
      <alignment horizontal="center" vertical="center"/>
    </xf>
    <xf numFmtId="0" fontId="41" fillId="6" borderId="12" xfId="187" applyFont="1" applyFill="1" applyBorder="1" applyAlignment="1">
      <alignment horizontal="center" vertical="center"/>
    </xf>
    <xf numFmtId="0" fontId="41" fillId="5" borderId="1" xfId="187" applyFont="1" applyFill="1" applyBorder="1" applyAlignment="1">
      <alignment horizontal="center" vertical="center"/>
    </xf>
    <xf numFmtId="0" fontId="41" fillId="2" borderId="1" xfId="187" applyFont="1" applyFill="1" applyBorder="1" applyAlignment="1">
      <alignment horizontal="center" vertical="center"/>
    </xf>
    <xf numFmtId="0" fontId="11" fillId="5" borderId="1" xfId="187" applyFont="1" applyFill="1" applyBorder="1" applyAlignment="1">
      <alignment horizontal="center" vertical="center"/>
    </xf>
    <xf numFmtId="0" fontId="41" fillId="0" borderId="1" xfId="187" applyFont="1" applyBorder="1" applyAlignment="1">
      <alignment horizontal="center" vertical="center" wrapText="1"/>
    </xf>
    <xf numFmtId="0" fontId="79" fillId="2" borderId="1" xfId="187" applyFont="1" applyFill="1" applyBorder="1" applyAlignment="1">
      <alignment horizontal="center" vertical="center" wrapText="1"/>
    </xf>
    <xf numFmtId="0" fontId="41" fillId="4" borderId="1" xfId="187" applyFont="1" applyFill="1" applyBorder="1" applyAlignment="1">
      <alignment horizontal="center" vertical="center"/>
    </xf>
    <xf numFmtId="0" fontId="41" fillId="19" borderId="1" xfId="187" applyFont="1" applyFill="1" applyBorder="1" applyAlignment="1">
      <alignment horizontal="center" vertical="center"/>
    </xf>
    <xf numFmtId="0" fontId="41" fillId="2" borderId="125" xfId="187" applyFont="1" applyFill="1" applyBorder="1" applyAlignment="1">
      <alignment horizontal="center" vertical="center"/>
    </xf>
    <xf numFmtId="0" fontId="41" fillId="2" borderId="0" xfId="187" applyFont="1" applyFill="1" applyBorder="1" applyAlignment="1">
      <alignment horizontal="center" vertical="center"/>
    </xf>
    <xf numFmtId="0" fontId="79" fillId="0" borderId="1" xfId="197" applyFont="1" applyBorder="1" applyAlignment="1">
      <alignment horizontal="center" vertical="center"/>
    </xf>
    <xf numFmtId="0" fontId="41" fillId="0" borderId="1" xfId="197" applyFont="1" applyBorder="1" applyAlignment="1">
      <alignment horizontal="center" vertical="center"/>
    </xf>
    <xf numFmtId="0" fontId="41" fillId="6" borderId="1" xfId="197" applyFont="1" applyFill="1" applyBorder="1" applyAlignment="1">
      <alignment horizontal="center" vertical="center"/>
    </xf>
    <xf numFmtId="0" fontId="41" fillId="2" borderId="1" xfId="197" applyFont="1" applyFill="1" applyBorder="1" applyAlignment="1">
      <alignment horizontal="center" vertical="center"/>
    </xf>
    <xf numFmtId="0" fontId="11" fillId="6" borderId="1" xfId="187" applyFont="1" applyFill="1" applyBorder="1" applyAlignment="1">
      <alignment horizontal="center" vertical="center"/>
    </xf>
    <xf numFmtId="0" fontId="41" fillId="0" borderId="1" xfId="197" applyFont="1" applyBorder="1" applyAlignment="1">
      <alignment horizontal="center" vertical="center" wrapText="1"/>
    </xf>
    <xf numFmtId="0" fontId="79" fillId="2" borderId="1" xfId="197" applyFont="1" applyFill="1" applyBorder="1" applyAlignment="1">
      <alignment horizontal="center" vertical="center" wrapText="1"/>
    </xf>
    <xf numFmtId="0" fontId="41" fillId="13" borderId="1" xfId="187" applyFont="1" applyFill="1" applyBorder="1" applyAlignment="1">
      <alignment horizontal="center"/>
    </xf>
    <xf numFmtId="0" fontId="41" fillId="0" borderId="0" xfId="187" applyFont="1" applyAlignment="1">
      <alignment vertical="top" wrapText="1"/>
    </xf>
    <xf numFmtId="0" fontId="41" fillId="0" borderId="0" xfId="187" applyFont="1" applyAlignment="1">
      <alignment vertical="top"/>
    </xf>
    <xf numFmtId="0" fontId="41" fillId="18" borderId="0" xfId="187" applyFont="1" applyFill="1" applyAlignment="1">
      <alignment horizontal="left" vertical="center" wrapText="1"/>
    </xf>
    <xf numFmtId="0" fontId="41" fillId="0" borderId="1" xfId="187" applyFont="1" applyBorder="1" applyAlignment="1">
      <alignment horizontal="center"/>
    </xf>
    <xf numFmtId="0" fontId="79" fillId="6" borderId="77" xfId="187" applyFont="1" applyFill="1" applyBorder="1" applyAlignment="1">
      <alignment horizontal="center" vertical="center" wrapText="1"/>
    </xf>
    <xf numFmtId="0" fontId="41" fillId="13" borderId="1" xfId="187" applyFont="1" applyFill="1" applyBorder="1" applyAlignment="1">
      <alignment horizontal="center" wrapText="1"/>
    </xf>
    <xf numFmtId="0" fontId="41" fillId="2" borderId="1" xfId="187" applyFont="1" applyFill="1" applyBorder="1" applyAlignment="1">
      <alignment horizontal="center" vertical="center" wrapText="1"/>
    </xf>
    <xf numFmtId="0" fontId="28" fillId="2" borderId="1" xfId="187" applyFont="1" applyFill="1" applyBorder="1" applyAlignment="1">
      <alignment horizontal="center" vertical="center" wrapText="1"/>
    </xf>
    <xf numFmtId="0" fontId="41" fillId="2" borderId="1" xfId="187" applyFont="1" applyFill="1" applyBorder="1"/>
    <xf numFmtId="0" fontId="41" fillId="18" borderId="0" xfId="187" applyFont="1" applyFill="1" applyAlignment="1">
      <alignment horizontal="left" vertical="center"/>
    </xf>
    <xf numFmtId="0" fontId="79" fillId="6" borderId="8" xfId="187" applyFont="1" applyFill="1" applyBorder="1" applyAlignment="1">
      <alignment horizontal="center" vertical="center" wrapText="1"/>
    </xf>
    <xf numFmtId="0" fontId="79" fillId="6" borderId="78" xfId="187" applyFont="1" applyFill="1" applyBorder="1" applyAlignment="1">
      <alignment horizontal="center" vertical="center" wrapText="1"/>
    </xf>
    <xf numFmtId="0" fontId="79" fillId="6" borderId="12" xfId="187" applyFont="1" applyFill="1" applyBorder="1" applyAlignment="1">
      <alignment horizontal="center" vertical="center" wrapText="1"/>
    </xf>
    <xf numFmtId="0" fontId="79" fillId="6" borderId="10" xfId="187" applyFont="1" applyFill="1" applyBorder="1" applyAlignment="1">
      <alignment horizontal="center" vertical="center" wrapText="1"/>
    </xf>
    <xf numFmtId="0" fontId="79" fillId="5" borderId="77" xfId="187" applyFont="1" applyFill="1" applyBorder="1" applyAlignment="1">
      <alignment horizontal="center" vertical="center" wrapText="1"/>
    </xf>
    <xf numFmtId="2" fontId="41" fillId="2" borderId="1" xfId="187" applyNumberFormat="1" applyFont="1" applyFill="1" applyBorder="1" applyAlignment="1">
      <alignment horizontal="center"/>
    </xf>
    <xf numFmtId="2" fontId="41" fillId="2" borderId="1" xfId="187" applyNumberFormat="1" applyFont="1" applyFill="1" applyBorder="1" applyAlignment="1">
      <alignment horizontal="center" vertical="center" wrapText="1"/>
    </xf>
    <xf numFmtId="2" fontId="28" fillId="2" borderId="1" xfId="187" applyNumberFormat="1" applyFont="1" applyFill="1" applyBorder="1" applyAlignment="1">
      <alignment horizontal="center" vertical="center" wrapText="1"/>
    </xf>
    <xf numFmtId="0" fontId="80" fillId="2" borderId="1" xfId="187" applyFont="1" applyFill="1" applyBorder="1" applyAlignment="1">
      <alignment horizontal="center" vertical="center" wrapText="1"/>
    </xf>
    <xf numFmtId="2" fontId="81" fillId="2" borderId="1" xfId="187" applyNumberFormat="1" applyFont="1" applyFill="1" applyBorder="1" applyAlignment="1">
      <alignment horizontal="center" vertical="center" wrapText="1"/>
    </xf>
    <xf numFmtId="2" fontId="41" fillId="2" borderId="1" xfId="187" applyNumberFormat="1" applyFont="1" applyFill="1" applyBorder="1"/>
    <xf numFmtId="0" fontId="79" fillId="5" borderId="8" xfId="187" applyFont="1" applyFill="1" applyBorder="1" applyAlignment="1">
      <alignment horizontal="center" vertical="center" wrapText="1"/>
    </xf>
    <xf numFmtId="0" fontId="79" fillId="5" borderId="78" xfId="187" applyFont="1" applyFill="1" applyBorder="1" applyAlignment="1">
      <alignment horizontal="center" vertical="center" wrapText="1"/>
    </xf>
    <xf numFmtId="0" fontId="41" fillId="0" borderId="0" xfId="187" applyFont="1" applyAlignment="1">
      <alignment horizontal="left" vertical="top" wrapText="1"/>
    </xf>
    <xf numFmtId="0" fontId="41" fillId="0" borderId="0" xfId="187" applyFont="1" applyAlignment="1">
      <alignment horizontal="left" vertical="top"/>
    </xf>
    <xf numFmtId="2" fontId="41" fillId="0" borderId="1" xfId="187" applyNumberFormat="1" applyFont="1" applyBorder="1" applyAlignment="1">
      <alignment horizontal="center"/>
    </xf>
    <xf numFmtId="0" fontId="81" fillId="2" borderId="1" xfId="187" applyFont="1" applyFill="1" applyBorder="1" applyAlignment="1">
      <alignment horizontal="center" vertical="center" wrapText="1"/>
    </xf>
    <xf numFmtId="0" fontId="82" fillId="15" borderId="0" xfId="197" applyFont="1" applyFill="1" applyAlignment="1">
      <alignment horizontal="center" vertical="center"/>
    </xf>
    <xf numFmtId="0" fontId="82" fillId="0" borderId="0" xfId="197" applyFont="1" applyFill="1" applyAlignment="1">
      <alignment horizontal="center" vertical="center"/>
    </xf>
    <xf numFmtId="0" fontId="82" fillId="29" borderId="0" xfId="197" applyFont="1" applyFill="1" applyAlignment="1">
      <alignment horizontal="center" vertical="center"/>
    </xf>
    <xf numFmtId="0" fontId="82" fillId="0" borderId="0" xfId="197" applyFont="1" applyAlignment="1">
      <alignment horizontal="center" vertical="center"/>
    </xf>
    <xf numFmtId="0" fontId="83" fillId="0" borderId="77" xfId="197" applyFont="1" applyBorder="1" applyAlignment="1">
      <alignment horizontal="center" vertical="center"/>
    </xf>
    <xf numFmtId="0" fontId="83" fillId="0" borderId="8" xfId="197" applyFont="1" applyFill="1" applyBorder="1" applyAlignment="1">
      <alignment horizontal="center" vertical="center"/>
    </xf>
    <xf numFmtId="0" fontId="83" fillId="6" borderId="1" xfId="197" applyFont="1" applyFill="1" applyBorder="1" applyAlignment="1">
      <alignment horizontal="center" vertical="center" wrapText="1"/>
    </xf>
    <xf numFmtId="0" fontId="84" fillId="4" borderId="1" xfId="197" applyFont="1" applyFill="1" applyBorder="1" applyAlignment="1">
      <alignment horizontal="center" vertical="center"/>
    </xf>
    <xf numFmtId="0" fontId="85" fillId="0" borderId="0" xfId="197" applyFont="1" applyAlignment="1">
      <alignment horizontal="center" vertical="center"/>
    </xf>
    <xf numFmtId="0" fontId="83" fillId="0" borderId="91" xfId="197" applyFont="1" applyBorder="1" applyAlignment="1">
      <alignment horizontal="center" vertical="center"/>
    </xf>
    <xf numFmtId="0" fontId="83" fillId="0" borderId="2" xfId="197" applyFont="1" applyFill="1" applyBorder="1" applyAlignment="1">
      <alignment horizontal="center" vertical="center"/>
    </xf>
    <xf numFmtId="0" fontId="86" fillId="6" borderId="2" xfId="197" applyFont="1" applyFill="1" applyBorder="1" applyAlignment="1">
      <alignment horizontal="center" vertical="center"/>
    </xf>
    <xf numFmtId="0" fontId="86" fillId="0" borderId="2" xfId="197" applyFont="1" applyBorder="1" applyAlignment="1">
      <alignment horizontal="center" vertical="center"/>
    </xf>
    <xf numFmtId="0" fontId="6" fillId="13" borderId="1" xfId="187" applyFont="1" applyFill="1" applyBorder="1" applyAlignment="1">
      <alignment horizontal="center"/>
    </xf>
    <xf numFmtId="0" fontId="6" fillId="0" borderId="77" xfId="197" applyFont="1" applyBorder="1" applyAlignment="1">
      <alignment horizontal="center" vertical="center"/>
    </xf>
    <xf numFmtId="0" fontId="6" fillId="0" borderId="8" xfId="197" applyFont="1" applyBorder="1" applyAlignment="1">
      <alignment horizontal="center" vertical="center"/>
    </xf>
    <xf numFmtId="0" fontId="6" fillId="6" borderId="8" xfId="197" applyFont="1" applyFill="1" applyBorder="1" applyAlignment="1">
      <alignment horizontal="center" vertical="center" wrapText="1"/>
    </xf>
    <xf numFmtId="0" fontId="6" fillId="4" borderId="8" xfId="197" applyFont="1" applyFill="1" applyBorder="1" applyAlignment="1">
      <alignment horizontal="center" vertical="center" wrapText="1"/>
    </xf>
    <xf numFmtId="0" fontId="6" fillId="4" borderId="78" xfId="197" applyFont="1" applyFill="1" applyBorder="1" applyAlignment="1">
      <alignment horizontal="center" vertical="center" wrapText="1"/>
    </xf>
    <xf numFmtId="0" fontId="6" fillId="0" borderId="81" xfId="197" applyFont="1" applyBorder="1" applyAlignment="1">
      <alignment horizontal="center" vertical="center"/>
    </xf>
    <xf numFmtId="0" fontId="6" fillId="0" borderId="1" xfId="197" applyFont="1" applyBorder="1" applyAlignment="1">
      <alignment horizontal="center" vertical="center"/>
    </xf>
    <xf numFmtId="0" fontId="6" fillId="6" borderId="1" xfId="197" applyFont="1" applyFill="1" applyBorder="1" applyAlignment="1">
      <alignment horizontal="center" vertical="center" wrapText="1"/>
    </xf>
    <xf numFmtId="0" fontId="6" fillId="4" borderId="1" xfId="197" applyFont="1" applyFill="1" applyBorder="1" applyAlignment="1">
      <alignment horizontal="center" vertical="center" wrapText="1"/>
    </xf>
    <xf numFmtId="0" fontId="6" fillId="4" borderId="82" xfId="197" applyFont="1" applyFill="1" applyBorder="1" applyAlignment="1">
      <alignment horizontal="center" vertical="center" wrapText="1"/>
    </xf>
    <xf numFmtId="0" fontId="6" fillId="4" borderId="2" xfId="197" applyFont="1" applyFill="1" applyBorder="1" applyAlignment="1">
      <alignment horizontal="center" vertical="center" wrapText="1"/>
    </xf>
    <xf numFmtId="0" fontId="6" fillId="4" borderId="96" xfId="197" applyFont="1" applyFill="1" applyBorder="1" applyAlignment="1">
      <alignment horizontal="center" vertical="center" wrapText="1"/>
    </xf>
    <xf numFmtId="0" fontId="6" fillId="0" borderId="81" xfId="197" applyFont="1" applyBorder="1" applyAlignment="1">
      <alignment horizontal="center" vertical="center" wrapText="1"/>
    </xf>
    <xf numFmtId="0" fontId="6" fillId="0" borderId="1" xfId="197" applyFont="1" applyFill="1" applyBorder="1" applyAlignment="1">
      <alignment horizontal="center" vertical="center"/>
    </xf>
    <xf numFmtId="0" fontId="82" fillId="4" borderId="1" xfId="197" applyFont="1" applyFill="1" applyBorder="1" applyAlignment="1">
      <alignment horizontal="center" vertical="center"/>
    </xf>
    <xf numFmtId="0" fontId="6" fillId="0" borderId="1" xfId="197" applyFont="1" applyFill="1" applyBorder="1" applyAlignment="1">
      <alignment horizontal="center" vertical="center" wrapText="1"/>
    </xf>
    <xf numFmtId="0" fontId="6" fillId="0" borderId="83" xfId="197" applyFont="1" applyBorder="1" applyAlignment="1">
      <alignment horizontal="center" vertical="center" wrapText="1"/>
    </xf>
    <xf numFmtId="0" fontId="6" fillId="0" borderId="84" xfId="197" applyFont="1" applyFill="1" applyBorder="1" applyAlignment="1">
      <alignment horizontal="center" vertical="center"/>
    </xf>
    <xf numFmtId="0" fontId="6" fillId="6" borderId="84" xfId="197" applyFont="1" applyFill="1" applyBorder="1" applyAlignment="1">
      <alignment horizontal="center" vertical="center" wrapText="1"/>
    </xf>
    <xf numFmtId="0" fontId="6" fillId="0" borderId="8" xfId="197" applyFont="1" applyFill="1" applyBorder="1" applyAlignment="1">
      <alignment horizontal="center" vertical="center" wrapText="1"/>
    </xf>
    <xf numFmtId="2" fontId="82" fillId="6" borderId="8" xfId="197" applyNumberFormat="1" applyFont="1" applyFill="1" applyBorder="1" applyAlignment="1">
      <alignment horizontal="center" vertical="center"/>
    </xf>
    <xf numFmtId="0" fontId="82" fillId="4" borderId="4" xfId="197" applyFont="1" applyFill="1" applyBorder="1" applyAlignment="1">
      <alignment horizontal="center" vertical="center"/>
    </xf>
    <xf numFmtId="194" fontId="87" fillId="6" borderId="95" xfId="197" applyNumberFormat="1" applyFont="1" applyFill="1" applyBorder="1" applyAlignment="1">
      <alignment horizontal="center" vertical="center"/>
    </xf>
    <xf numFmtId="0" fontId="6" fillId="0" borderId="83" xfId="197" applyFont="1" applyBorder="1" applyAlignment="1">
      <alignment horizontal="center" vertical="center"/>
    </xf>
    <xf numFmtId="0" fontId="6" fillId="0" borderId="84" xfId="197" applyFont="1" applyFill="1" applyBorder="1" applyAlignment="1">
      <alignment horizontal="center" vertical="center" wrapText="1"/>
    </xf>
    <xf numFmtId="2" fontId="82" fillId="6" borderId="84" xfId="197" applyNumberFormat="1" applyFont="1" applyFill="1" applyBorder="1" applyAlignment="1">
      <alignment horizontal="center" vertical="center"/>
    </xf>
    <xf numFmtId="0" fontId="82" fillId="4" borderId="84" xfId="197" applyFont="1" applyFill="1" applyBorder="1" applyAlignment="1">
      <alignment horizontal="center" vertical="center"/>
    </xf>
    <xf numFmtId="194" fontId="87" fillId="6" borderId="85" xfId="197" applyNumberFormat="1" applyFont="1" applyFill="1" applyBorder="1" applyAlignment="1">
      <alignment horizontal="center" vertical="center"/>
    </xf>
    <xf numFmtId="0" fontId="6" fillId="0" borderId="92" xfId="197" applyFont="1" applyFill="1" applyBorder="1" applyAlignment="1">
      <alignment horizontal="center" vertical="center" wrapText="1"/>
    </xf>
    <xf numFmtId="2" fontId="6" fillId="6" borderId="84" xfId="197" applyNumberFormat="1" applyFont="1" applyFill="1" applyBorder="1" applyAlignment="1">
      <alignment horizontal="center" vertical="center" wrapText="1"/>
    </xf>
    <xf numFmtId="0" fontId="6" fillId="0" borderId="127" xfId="197" applyFont="1" applyFill="1" applyBorder="1" applyAlignment="1">
      <alignment horizontal="center" vertical="center" wrapText="1"/>
    </xf>
    <xf numFmtId="0" fontId="6" fillId="0" borderId="8" xfId="197" applyFont="1" applyFill="1" applyBorder="1" applyAlignment="1">
      <alignment horizontal="center" vertical="center"/>
    </xf>
    <xf numFmtId="0" fontId="82" fillId="6" borderId="8" xfId="197" applyFont="1" applyFill="1" applyBorder="1" applyAlignment="1">
      <alignment horizontal="center" vertical="center"/>
    </xf>
    <xf numFmtId="2" fontId="6" fillId="6" borderId="8" xfId="197" applyNumberFormat="1" applyFont="1" applyFill="1" applyBorder="1" applyAlignment="1">
      <alignment horizontal="center" vertical="center" wrapText="1"/>
    </xf>
    <xf numFmtId="0" fontId="82" fillId="4" borderId="8" xfId="197" applyFont="1" applyFill="1" applyBorder="1" applyAlignment="1">
      <alignment horizontal="center" vertical="center"/>
    </xf>
    <xf numFmtId="194" fontId="87" fillId="6" borderId="78" xfId="197" applyNumberFormat="1" applyFont="1" applyFill="1" applyBorder="1" applyAlignment="1">
      <alignment horizontal="center" vertical="center"/>
    </xf>
    <xf numFmtId="0" fontId="6" fillId="0" borderId="128" xfId="197" applyFont="1" applyFill="1" applyBorder="1" applyAlignment="1">
      <alignment horizontal="center" vertical="center" wrapText="1"/>
    </xf>
    <xf numFmtId="0" fontId="6" fillId="13" borderId="1" xfId="187" applyFont="1" applyFill="1" applyBorder="1" applyAlignment="1">
      <alignment horizontal="center" wrapText="1"/>
    </xf>
    <xf numFmtId="2" fontId="82" fillId="6" borderId="1" xfId="197" applyNumberFormat="1" applyFont="1" applyFill="1" applyBorder="1" applyAlignment="1">
      <alignment horizontal="center" vertical="center"/>
    </xf>
    <xf numFmtId="194" fontId="87" fillId="6" borderId="82" xfId="197" applyNumberFormat="1" applyFont="1" applyFill="1" applyBorder="1" applyAlignment="1">
      <alignment horizontal="center" vertical="center"/>
    </xf>
    <xf numFmtId="0" fontId="6" fillId="4" borderId="1" xfId="187" applyFont="1" applyFill="1" applyBorder="1" applyAlignment="1">
      <alignment horizontal="center"/>
    </xf>
    <xf numFmtId="2" fontId="87" fillId="6" borderId="1" xfId="197" applyNumberFormat="1" applyFont="1" applyFill="1" applyBorder="1" applyAlignment="1">
      <alignment horizontal="center" vertical="center"/>
    </xf>
    <xf numFmtId="0" fontId="82" fillId="6" borderId="1" xfId="197" applyFont="1" applyFill="1" applyBorder="1" applyAlignment="1">
      <alignment horizontal="center" vertical="center"/>
    </xf>
    <xf numFmtId="0" fontId="82" fillId="4" borderId="84" xfId="197" applyFont="1" applyFill="1" applyBorder="1" applyAlignment="1">
      <alignment horizontal="center" vertical="center" wrapText="1"/>
    </xf>
    <xf numFmtId="0" fontId="6" fillId="0" borderId="93" xfId="197" applyFont="1" applyFill="1" applyBorder="1" applyAlignment="1">
      <alignment horizontal="center" vertical="center" wrapText="1"/>
    </xf>
    <xf numFmtId="0" fontId="6" fillId="0" borderId="4" xfId="197" applyFont="1" applyFill="1" applyBorder="1" applyAlignment="1">
      <alignment horizontal="center" vertical="center" wrapText="1"/>
    </xf>
    <xf numFmtId="0" fontId="6" fillId="6" borderId="4" xfId="197" applyFont="1" applyFill="1" applyBorder="1" applyAlignment="1">
      <alignment horizontal="center" vertical="center"/>
    </xf>
    <xf numFmtId="2" fontId="82" fillId="6" borderId="4" xfId="197" applyNumberFormat="1" applyFont="1" applyFill="1" applyBorder="1" applyAlignment="1">
      <alignment horizontal="center" vertical="center"/>
    </xf>
    <xf numFmtId="194" fontId="87" fillId="6" borderId="4" xfId="197" applyNumberFormat="1" applyFont="1" applyFill="1" applyBorder="1" applyAlignment="1">
      <alignment horizontal="center" vertical="center"/>
    </xf>
    <xf numFmtId="0" fontId="6" fillId="0" borderId="3" xfId="197" applyFont="1" applyFill="1" applyBorder="1" applyAlignment="1">
      <alignment horizontal="center" vertical="center" wrapText="1"/>
    </xf>
    <xf numFmtId="2" fontId="87" fillId="6" borderId="4" xfId="197" applyNumberFormat="1" applyFont="1" applyFill="1" applyBorder="1" applyAlignment="1">
      <alignment horizontal="center" vertical="center"/>
    </xf>
    <xf numFmtId="0" fontId="6" fillId="0" borderId="83" xfId="197" applyFont="1" applyFill="1" applyBorder="1" applyAlignment="1">
      <alignment horizontal="center" vertical="center" wrapText="1"/>
    </xf>
    <xf numFmtId="0" fontId="6" fillId="6" borderId="1" xfId="197" applyFont="1" applyFill="1" applyBorder="1" applyAlignment="1">
      <alignment horizontal="center" vertical="center"/>
    </xf>
    <xf numFmtId="2" fontId="6" fillId="6" borderId="1" xfId="197" applyNumberFormat="1" applyFont="1" applyFill="1" applyBorder="1" applyAlignment="1">
      <alignment horizontal="center" vertical="center" wrapText="1"/>
    </xf>
    <xf numFmtId="2" fontId="82" fillId="19" borderId="1" xfId="197" applyNumberFormat="1" applyFont="1" applyFill="1" applyBorder="1" applyAlignment="1">
      <alignment horizontal="center" vertical="center"/>
    </xf>
    <xf numFmtId="0" fontId="9" fillId="0" borderId="0" xfId="197" applyFill="1">
      <alignment vertical="center"/>
    </xf>
    <xf numFmtId="0" fontId="82" fillId="0" borderId="129" xfId="197" applyFont="1" applyBorder="1" applyAlignment="1">
      <alignment horizontal="center" vertical="center" wrapText="1"/>
    </xf>
    <xf numFmtId="0" fontId="82" fillId="0" borderId="130" xfId="197" applyFont="1" applyBorder="1" applyAlignment="1">
      <alignment horizontal="center" vertical="center" wrapText="1"/>
    </xf>
    <xf numFmtId="0" fontId="82" fillId="0" borderId="129" xfId="197" applyFont="1" applyFill="1" applyBorder="1" applyAlignment="1">
      <alignment horizontal="center" vertical="center" wrapText="1"/>
    </xf>
    <xf numFmtId="0" fontId="82" fillId="0" borderId="93" xfId="197" applyFont="1" applyFill="1" applyBorder="1" applyAlignment="1">
      <alignment horizontal="center" vertical="center" wrapText="1"/>
    </xf>
    <xf numFmtId="0" fontId="82" fillId="0" borderId="95" xfId="197" applyFont="1" applyBorder="1" applyAlignment="1">
      <alignment horizontal="center" vertical="center" wrapText="1"/>
    </xf>
    <xf numFmtId="0" fontId="82" fillId="0" borderId="81" xfId="197" applyFont="1" applyFill="1" applyBorder="1" applyAlignment="1">
      <alignment horizontal="center" vertical="center" wrapText="1"/>
    </xf>
    <xf numFmtId="2" fontId="82" fillId="0" borderId="82" xfId="197" applyNumberFormat="1" applyFont="1" applyBorder="1" applyAlignment="1">
      <alignment horizontal="center" vertical="center" wrapText="1"/>
    </xf>
    <xf numFmtId="0" fontId="82" fillId="4" borderId="82" xfId="197" applyFont="1" applyFill="1" applyBorder="1" applyAlignment="1">
      <alignment horizontal="center" vertical="center" wrapText="1"/>
    </xf>
    <xf numFmtId="0" fontId="82" fillId="0" borderId="82" xfId="197" applyFont="1" applyBorder="1" applyAlignment="1">
      <alignment horizontal="center" vertical="center" wrapText="1"/>
    </xf>
    <xf numFmtId="2" fontId="82" fillId="4" borderId="82" xfId="197" applyNumberFormat="1" applyFont="1" applyFill="1" applyBorder="1" applyAlignment="1">
      <alignment horizontal="center" vertical="center" wrapText="1"/>
    </xf>
    <xf numFmtId="0" fontId="82" fillId="0" borderId="82" xfId="197" applyFont="1" applyFill="1" applyBorder="1" applyAlignment="1">
      <alignment horizontal="center" vertical="center" wrapText="1"/>
    </xf>
    <xf numFmtId="0" fontId="88" fillId="0" borderId="83" xfId="197" applyFont="1" applyFill="1" applyBorder="1" applyAlignment="1">
      <alignment horizontal="center" vertical="center" wrapText="1"/>
    </xf>
    <xf numFmtId="0" fontId="89" fillId="0" borderId="85" xfId="197" applyFont="1" applyBorder="1" applyAlignment="1">
      <alignment horizontal="center" vertical="center" wrapText="1"/>
    </xf>
    <xf numFmtId="0" fontId="87" fillId="0" borderId="85" xfId="197" applyFont="1" applyBorder="1" applyAlignment="1">
      <alignment horizontal="center" vertical="center" wrapText="1"/>
    </xf>
    <xf numFmtId="0" fontId="87" fillId="0" borderId="83" xfId="197" applyFont="1" applyFill="1" applyBorder="1" applyAlignment="1">
      <alignment horizontal="center" vertical="center" wrapText="1"/>
    </xf>
    <xf numFmtId="0" fontId="90" fillId="0" borderId="85" xfId="197" applyFont="1" applyBorder="1" applyAlignment="1">
      <alignment horizontal="center" vertical="center" wrapText="1"/>
    </xf>
    <xf numFmtId="0" fontId="90" fillId="0" borderId="83" xfId="197" applyFont="1" applyFill="1" applyBorder="1" applyAlignment="1">
      <alignment horizontal="center" vertical="center" wrapText="1"/>
    </xf>
    <xf numFmtId="0" fontId="82" fillId="0" borderId="130" xfId="197" applyFont="1" applyFill="1" applyBorder="1" applyAlignment="1">
      <alignment horizontal="center" vertical="center" wrapText="1"/>
    </xf>
    <xf numFmtId="0" fontId="82" fillId="0" borderId="95" xfId="197" applyFont="1" applyFill="1" applyBorder="1" applyAlignment="1">
      <alignment horizontal="center" vertical="center" wrapText="1"/>
    </xf>
    <xf numFmtId="2" fontId="82" fillId="0" borderId="95" xfId="197" applyNumberFormat="1" applyFont="1" applyBorder="1" applyAlignment="1">
      <alignment horizontal="center" vertical="center" wrapText="1"/>
    </xf>
    <xf numFmtId="0" fontId="89" fillId="0" borderId="82" xfId="197" applyFont="1" applyBorder="1" applyAlignment="1">
      <alignment horizontal="center" vertical="center" wrapText="1"/>
    </xf>
    <xf numFmtId="2" fontId="82" fillId="0" borderId="82" xfId="197" applyNumberFormat="1" applyFont="1" applyFill="1" applyBorder="1" applyAlignment="1">
      <alignment horizontal="center" vertical="center" wrapText="1"/>
    </xf>
    <xf numFmtId="0" fontId="90" fillId="0" borderId="85" xfId="197" applyFont="1" applyFill="1" applyBorder="1" applyAlignment="1">
      <alignment horizontal="center" vertical="center" wrapText="1"/>
    </xf>
    <xf numFmtId="2" fontId="90" fillId="0" borderId="82" xfId="197" applyNumberFormat="1" applyFont="1" applyFill="1" applyBorder="1" applyAlignment="1">
      <alignment horizontal="center" vertical="center" wrapText="1"/>
    </xf>
    <xf numFmtId="0" fontId="91" fillId="0" borderId="131" xfId="197" applyFont="1" applyBorder="1" applyAlignment="1">
      <alignment horizontal="center" vertical="center"/>
    </xf>
    <xf numFmtId="0" fontId="91" fillId="0" borderId="43" xfId="197" applyFont="1" applyBorder="1" applyAlignment="1">
      <alignment horizontal="center" vertical="center"/>
    </xf>
    <xf numFmtId="0" fontId="82" fillId="29" borderId="129" xfId="197" applyFont="1" applyFill="1" applyBorder="1" applyAlignment="1">
      <alignment horizontal="center" vertical="center" wrapText="1"/>
    </xf>
    <xf numFmtId="0" fontId="82" fillId="29" borderId="130" xfId="197" applyFont="1" applyFill="1" applyBorder="1" applyAlignment="1">
      <alignment horizontal="center" vertical="center" wrapText="1"/>
    </xf>
    <xf numFmtId="0" fontId="82" fillId="4" borderId="95" xfId="197" applyFont="1" applyFill="1" applyBorder="1" applyAlignment="1">
      <alignment horizontal="center" vertical="center" wrapText="1"/>
    </xf>
    <xf numFmtId="0" fontId="82" fillId="0" borderId="104" xfId="197" applyFont="1" applyFill="1" applyBorder="1" applyAlignment="1">
      <alignment horizontal="center" vertical="center" wrapText="1"/>
    </xf>
    <xf numFmtId="0" fontId="82" fillId="4" borderId="104" xfId="197" applyFont="1" applyFill="1" applyBorder="1" applyAlignment="1">
      <alignment horizontal="center" vertical="center" wrapText="1"/>
    </xf>
    <xf numFmtId="0" fontId="82" fillId="0" borderId="11" xfId="197" applyFont="1" applyFill="1" applyBorder="1" applyAlignment="1">
      <alignment horizontal="center" vertical="center" wrapText="1"/>
    </xf>
    <xf numFmtId="0" fontId="82" fillId="4" borderId="11" xfId="197" applyFont="1" applyFill="1" applyBorder="1" applyAlignment="1">
      <alignment horizontal="center" vertical="center" wrapText="1"/>
    </xf>
    <xf numFmtId="0" fontId="90" fillId="0" borderId="132" xfId="197" applyFont="1" applyFill="1" applyBorder="1" applyAlignment="1">
      <alignment horizontal="center" vertical="center" wrapText="1"/>
    </xf>
    <xf numFmtId="0" fontId="90" fillId="4" borderId="132" xfId="197" applyFont="1" applyFill="1" applyBorder="1" applyAlignment="1">
      <alignment horizontal="center" vertical="center" wrapText="1"/>
    </xf>
    <xf numFmtId="0" fontId="91" fillId="0" borderId="133" xfId="197" applyFont="1" applyBorder="1" applyAlignment="1">
      <alignment horizontal="center" vertical="center"/>
    </xf>
    <xf numFmtId="0" fontId="82" fillId="0" borderId="105" xfId="197" applyFont="1" applyFill="1" applyBorder="1" applyAlignment="1">
      <alignment horizontal="center" vertical="center" wrapText="1"/>
    </xf>
    <xf numFmtId="0" fontId="82" fillId="0" borderId="134" xfId="197" applyFont="1" applyFill="1" applyBorder="1" applyAlignment="1">
      <alignment horizontal="center" vertical="center" wrapText="1"/>
    </xf>
    <xf numFmtId="0" fontId="90" fillId="0" borderId="135" xfId="197" applyFont="1" applyFill="1" applyBorder="1" applyAlignment="1">
      <alignment horizontal="center" vertical="center" wrapText="1"/>
    </xf>
    <xf numFmtId="0" fontId="92" fillId="0" borderId="0" xfId="0" applyFont="1" applyAlignment="1">
      <alignment horizontal="left" vertical="center" readingOrder="1"/>
    </xf>
    <xf numFmtId="0" fontId="93" fillId="59" borderId="1" xfId="18" applyFont="1" applyFill="1" applyBorder="1" applyAlignment="1">
      <alignment horizontal="center" vertical="center" wrapText="1"/>
    </xf>
    <xf numFmtId="0" fontId="24" fillId="2" borderId="1" xfId="0" applyFont="1" applyFill="1" applyBorder="1" applyAlignment="1">
      <alignment horizontal="left" vertical="center" wrapText="1"/>
    </xf>
    <xf numFmtId="0" fontId="24" fillId="2" borderId="1" xfId="0" applyFont="1" applyFill="1" applyBorder="1" applyAlignment="1">
      <alignment horizontal="center" vertical="center" wrapText="1"/>
    </xf>
    <xf numFmtId="0" fontId="0" fillId="2" borderId="1" xfId="0" applyFill="1" applyBorder="1">
      <alignment vertical="center"/>
    </xf>
    <xf numFmtId="0" fontId="0" fillId="0" borderId="1" xfId="0" applyBorder="1">
      <alignment vertical="center"/>
    </xf>
    <xf numFmtId="0" fontId="0" fillId="4" borderId="1" xfId="0" applyFill="1" applyBorder="1">
      <alignment vertical="center"/>
    </xf>
    <xf numFmtId="0" fontId="24" fillId="2" borderId="1" xfId="0" applyFont="1" applyFill="1" applyBorder="1" applyAlignment="1">
      <alignment horizontal="left" vertical="center"/>
    </xf>
    <xf numFmtId="0" fontId="24" fillId="2" borderId="1" xfId="0" applyFont="1" applyFill="1" applyBorder="1" applyAlignment="1">
      <alignment vertical="center" wrapText="1"/>
    </xf>
    <xf numFmtId="0" fontId="24" fillId="2" borderId="2" xfId="0" applyFont="1" applyFill="1" applyBorder="1" applyAlignment="1">
      <alignment horizontal="left" vertical="center" wrapText="1"/>
    </xf>
    <xf numFmtId="0" fontId="0" fillId="4" borderId="2" xfId="0" applyFill="1" applyBorder="1" applyAlignment="1">
      <alignment horizontal="center" vertical="center"/>
    </xf>
    <xf numFmtId="0" fontId="24" fillId="2" borderId="4" xfId="0" applyFont="1" applyFill="1" applyBorder="1" applyAlignment="1">
      <alignment horizontal="left" vertical="center" wrapText="1"/>
    </xf>
    <xf numFmtId="0" fontId="0" fillId="4" borderId="4" xfId="0" applyFill="1" applyBorder="1" applyAlignment="1">
      <alignment horizontal="center" vertical="center"/>
    </xf>
    <xf numFmtId="0" fontId="24" fillId="0" borderId="1" xfId="18" applyFont="1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11" fillId="0" borderId="0" xfId="0" applyFont="1" applyAlignment="1">
      <alignment horizontal="left" vertical="top" wrapText="1"/>
    </xf>
    <xf numFmtId="0" fontId="94" fillId="0" borderId="0" xfId="0" applyFont="1" applyAlignment="1">
      <alignment horizontal="left" vertical="center" indent="1"/>
    </xf>
    <xf numFmtId="0" fontId="93" fillId="59" borderId="10" xfId="18" applyFont="1" applyFill="1" applyBorder="1" applyAlignment="1">
      <alignment horizontal="center" vertical="center" wrapText="1"/>
    </xf>
    <xf numFmtId="0" fontId="93" fillId="59" borderId="11" xfId="18" applyFont="1" applyFill="1" applyBorder="1" applyAlignment="1">
      <alignment horizontal="center" vertical="center" wrapText="1"/>
    </xf>
    <xf numFmtId="0" fontId="93" fillId="59" borderId="12" xfId="18" applyFont="1" applyFill="1" applyBorder="1" applyAlignment="1">
      <alignment horizontal="center" vertical="center" wrapText="1"/>
    </xf>
    <xf numFmtId="0" fontId="24" fillId="0" borderId="1" xfId="18" applyFont="1" applyBorder="1" applyAlignment="1">
      <alignment horizontal="left" vertical="center" wrapText="1"/>
    </xf>
    <xf numFmtId="0" fontId="24" fillId="2" borderId="1" xfId="18" applyFont="1" applyFill="1" applyBorder="1" applyAlignment="1">
      <alignment horizontal="left" vertical="center" wrapText="1"/>
    </xf>
    <xf numFmtId="0" fontId="24" fillId="2" borderId="1" xfId="18" applyFont="1" applyFill="1" applyBorder="1" applyAlignment="1">
      <alignment horizontal="left" vertical="center"/>
    </xf>
    <xf numFmtId="0" fontId="24" fillId="0" borderId="2" xfId="18" applyFont="1" applyBorder="1" applyAlignment="1">
      <alignment horizontal="center" vertical="center" wrapText="1"/>
    </xf>
    <xf numFmtId="0" fontId="24" fillId="4" borderId="2" xfId="18" applyFont="1" applyFill="1" applyBorder="1" applyAlignment="1">
      <alignment horizontal="center" vertical="center" wrapText="1"/>
    </xf>
    <xf numFmtId="0" fontId="24" fillId="0" borderId="1" xfId="18" applyFont="1" applyBorder="1" applyAlignment="1">
      <alignment horizontal="left" vertical="center"/>
    </xf>
    <xf numFmtId="0" fontId="24" fillId="0" borderId="4" xfId="18" applyFont="1" applyBorder="1" applyAlignment="1">
      <alignment horizontal="center" vertical="center" wrapText="1"/>
    </xf>
    <xf numFmtId="0" fontId="24" fillId="4" borderId="4" xfId="18" applyFont="1" applyFill="1" applyBorder="1" applyAlignment="1">
      <alignment horizontal="center" vertical="center" wrapText="1"/>
    </xf>
    <xf numFmtId="0" fontId="95" fillId="60" borderId="136" xfId="0" applyFont="1" applyFill="1" applyBorder="1" applyAlignment="1">
      <alignment horizontal="center" vertical="center" wrapText="1" readingOrder="1"/>
    </xf>
    <xf numFmtId="0" fontId="95" fillId="60" borderId="137" xfId="0" applyFont="1" applyFill="1" applyBorder="1" applyAlignment="1">
      <alignment horizontal="center" vertical="center" wrapText="1" readingOrder="1"/>
    </xf>
    <xf numFmtId="0" fontId="95" fillId="60" borderId="138" xfId="0" applyFont="1" applyFill="1" applyBorder="1" applyAlignment="1">
      <alignment horizontal="center" vertical="center" wrapText="1" readingOrder="1"/>
    </xf>
    <xf numFmtId="0" fontId="95" fillId="60" borderId="139" xfId="0" applyFont="1" applyFill="1" applyBorder="1" applyAlignment="1">
      <alignment horizontal="center" vertical="center" wrapText="1" readingOrder="1"/>
    </xf>
    <xf numFmtId="0" fontId="95" fillId="60" borderId="140" xfId="0" applyFont="1" applyFill="1" applyBorder="1" applyAlignment="1">
      <alignment horizontal="center" vertical="center" wrapText="1" readingOrder="1"/>
    </xf>
    <xf numFmtId="0" fontId="95" fillId="60" borderId="141" xfId="0" applyFont="1" applyFill="1" applyBorder="1" applyAlignment="1">
      <alignment horizontal="center" vertical="center" wrapText="1" readingOrder="1"/>
    </xf>
    <xf numFmtId="0" fontId="96" fillId="0" borderId="142" xfId="0" applyFont="1" applyBorder="1" applyAlignment="1">
      <alignment horizontal="center" vertical="center" wrapText="1"/>
    </xf>
    <xf numFmtId="0" fontId="97" fillId="0" borderId="143" xfId="0" applyFont="1" applyBorder="1" applyAlignment="1">
      <alignment horizontal="center" vertical="center" wrapText="1"/>
    </xf>
    <xf numFmtId="0" fontId="98" fillId="0" borderId="144" xfId="0" applyFont="1" applyBorder="1" applyAlignment="1">
      <alignment horizontal="center" vertical="center" wrapText="1"/>
    </xf>
    <xf numFmtId="0" fontId="95" fillId="60" borderId="145" xfId="0" applyFont="1" applyFill="1" applyBorder="1" applyAlignment="1">
      <alignment horizontal="center" vertical="center" wrapText="1" readingOrder="1"/>
    </xf>
    <xf numFmtId="0" fontId="95" fillId="60" borderId="146" xfId="0" applyFont="1" applyFill="1" applyBorder="1" applyAlignment="1">
      <alignment horizontal="center" vertical="center" wrapText="1" readingOrder="1"/>
    </xf>
    <xf numFmtId="0" fontId="95" fillId="60" borderId="147" xfId="0" applyFont="1" applyFill="1" applyBorder="1" applyAlignment="1">
      <alignment horizontal="center" vertical="center" wrapText="1" readingOrder="1"/>
    </xf>
    <xf numFmtId="0" fontId="96" fillId="0" borderId="138" xfId="0" applyFont="1" applyBorder="1" applyAlignment="1">
      <alignment horizontal="center" vertical="center" wrapText="1"/>
    </xf>
    <xf numFmtId="0" fontId="97" fillId="0" borderId="148" xfId="0" applyFont="1" applyBorder="1" applyAlignment="1">
      <alignment horizontal="center" vertical="center" wrapText="1"/>
    </xf>
    <xf numFmtId="0" fontId="98" fillId="0" borderId="140" xfId="0" applyFont="1" applyBorder="1" applyAlignment="1">
      <alignment horizontal="center" vertical="center" wrapText="1"/>
    </xf>
    <xf numFmtId="0" fontId="97" fillId="0" borderId="149" xfId="0" applyFont="1" applyBorder="1" applyAlignment="1">
      <alignment horizontal="center" vertical="center" wrapText="1"/>
    </xf>
    <xf numFmtId="0" fontId="98" fillId="0" borderId="138" xfId="0" applyFont="1" applyBorder="1" applyAlignment="1">
      <alignment vertical="center" wrapText="1"/>
    </xf>
    <xf numFmtId="0" fontId="96" fillId="0" borderId="148" xfId="0" applyFont="1" applyBorder="1" applyAlignment="1">
      <alignment horizontal="center" vertical="center" wrapText="1"/>
    </xf>
    <xf numFmtId="0" fontId="98" fillId="0" borderId="140" xfId="0" applyFont="1" applyBorder="1" applyAlignment="1">
      <alignment vertical="center" wrapText="1"/>
    </xf>
    <xf numFmtId="0" fontId="96" fillId="0" borderId="149" xfId="0" applyFont="1" applyBorder="1" applyAlignment="1">
      <alignment horizontal="center" vertical="center" wrapText="1"/>
    </xf>
    <xf numFmtId="0" fontId="98" fillId="0" borderId="0" xfId="0" applyFont="1" applyBorder="1" applyAlignment="1">
      <alignment vertical="center" wrapText="1"/>
    </xf>
    <xf numFmtId="0" fontId="99" fillId="60" borderId="31" xfId="0" applyFont="1" applyFill="1" applyBorder="1" applyAlignment="1">
      <alignment horizontal="center" vertical="center" wrapText="1" readingOrder="1"/>
    </xf>
    <xf numFmtId="0" fontId="99" fillId="60" borderId="150" xfId="0" applyFont="1" applyFill="1" applyBorder="1" applyAlignment="1">
      <alignment horizontal="center" vertical="center" wrapText="1" readingOrder="1"/>
    </xf>
    <xf numFmtId="0" fontId="99" fillId="60" borderId="151" xfId="0" applyFont="1" applyFill="1" applyBorder="1" applyAlignment="1">
      <alignment horizontal="center" vertical="center" wrapText="1" readingOrder="1"/>
    </xf>
    <xf numFmtId="0" fontId="99" fillId="61" borderId="152" xfId="0" applyFont="1" applyFill="1" applyBorder="1" applyAlignment="1">
      <alignment horizontal="center" vertical="center" wrapText="1" readingOrder="1"/>
    </xf>
    <xf numFmtId="0" fontId="100" fillId="60" borderId="150" xfId="0" applyFont="1" applyFill="1" applyBorder="1" applyAlignment="1">
      <alignment horizontal="center" vertical="center" wrapText="1" readingOrder="1"/>
    </xf>
    <xf numFmtId="0" fontId="99" fillId="60" borderId="49" xfId="0" applyFont="1" applyFill="1" applyBorder="1" applyAlignment="1">
      <alignment horizontal="center" vertical="center" wrapText="1" readingOrder="1"/>
    </xf>
    <xf numFmtId="0" fontId="99" fillId="60" borderId="153" xfId="0" applyFont="1" applyFill="1" applyBorder="1" applyAlignment="1">
      <alignment horizontal="center" vertical="center" wrapText="1" readingOrder="1"/>
    </xf>
    <xf numFmtId="0" fontId="101" fillId="61" borderId="154" xfId="0" applyFont="1" applyFill="1" applyBorder="1" applyAlignment="1">
      <alignment horizontal="center" vertical="center" wrapText="1" readingOrder="1"/>
    </xf>
    <xf numFmtId="0" fontId="102" fillId="60" borderId="147" xfId="0" applyFont="1" applyFill="1" applyBorder="1" applyAlignment="1">
      <alignment horizontal="center" vertical="center" wrapText="1" readingOrder="1"/>
    </xf>
    <xf numFmtId="0" fontId="96" fillId="0" borderId="147" xfId="0" applyFont="1" applyBorder="1" applyAlignment="1">
      <alignment horizontal="center" vertical="center" wrapText="1"/>
    </xf>
    <xf numFmtId="0" fontId="101" fillId="60" borderId="136" xfId="0" applyFont="1" applyFill="1" applyBorder="1" applyAlignment="1">
      <alignment horizontal="center" vertical="center" wrapText="1" readingOrder="1"/>
    </xf>
    <xf numFmtId="0" fontId="101" fillId="60" borderId="155" xfId="0" applyFont="1" applyFill="1" applyBorder="1" applyAlignment="1">
      <alignment horizontal="center" vertical="center" wrapText="1" readingOrder="1"/>
    </xf>
    <xf numFmtId="0" fontId="101" fillId="60" borderId="137" xfId="0" applyFont="1" applyFill="1" applyBorder="1" applyAlignment="1">
      <alignment horizontal="center" vertical="center" wrapText="1" readingOrder="1"/>
    </xf>
    <xf numFmtId="0" fontId="101" fillId="60" borderId="147" xfId="0" applyFont="1" applyFill="1" applyBorder="1" applyAlignment="1">
      <alignment horizontal="center" vertical="center" wrapText="1" readingOrder="1"/>
    </xf>
    <xf numFmtId="0" fontId="101" fillId="60" borderId="141" xfId="0" applyFont="1" applyFill="1" applyBorder="1" applyAlignment="1">
      <alignment horizontal="center" vertical="center" wrapText="1" readingOrder="1"/>
    </xf>
    <xf numFmtId="0" fontId="101" fillId="60" borderId="145" xfId="0" applyFont="1" applyFill="1" applyBorder="1" applyAlignment="1">
      <alignment horizontal="center" vertical="center" wrapText="1" readingOrder="1"/>
    </xf>
    <xf numFmtId="0" fontId="101" fillId="60" borderId="146" xfId="0" applyFont="1" applyFill="1" applyBorder="1" applyAlignment="1">
      <alignment horizontal="center" vertical="center" wrapText="1" readingOrder="1"/>
    </xf>
    <xf numFmtId="0" fontId="103" fillId="62" borderId="49" xfId="0" applyFont="1" applyFill="1" applyBorder="1" applyAlignment="1">
      <alignment horizontal="center" vertical="center" wrapText="1" readingOrder="1"/>
    </xf>
    <xf numFmtId="0" fontId="103" fillId="62" borderId="51" xfId="0" applyFont="1" applyFill="1" applyBorder="1" applyAlignment="1">
      <alignment horizontal="center" vertical="center" wrapText="1" readingOrder="1"/>
    </xf>
    <xf numFmtId="0" fontId="103" fillId="62" borderId="31" xfId="0" applyFont="1" applyFill="1" applyBorder="1" applyAlignment="1">
      <alignment horizontal="center" vertical="center" wrapText="1" readingOrder="1"/>
    </xf>
    <xf numFmtId="0" fontId="98" fillId="0" borderId="156" xfId="0" applyFont="1" applyBorder="1" applyAlignment="1">
      <alignment vertical="center" wrapText="1"/>
    </xf>
    <xf numFmtId="0" fontId="103" fillId="63" borderId="31" xfId="0" applyFont="1" applyFill="1" applyBorder="1" applyAlignment="1">
      <alignment horizontal="left" vertical="center" wrapText="1" readingOrder="1"/>
    </xf>
    <xf numFmtId="0" fontId="103" fillId="4" borderId="31" xfId="0" applyFont="1" applyFill="1" applyBorder="1" applyAlignment="1">
      <alignment horizontal="center" vertical="center" wrapText="1" readingOrder="1"/>
    </xf>
    <xf numFmtId="0" fontId="104" fillId="0" borderId="31" xfId="0" applyFont="1" applyBorder="1" applyAlignment="1">
      <alignment horizontal="left" vertical="center" wrapText="1" readingOrder="1"/>
    </xf>
    <xf numFmtId="0" fontId="105" fillId="0" borderId="31" xfId="0" applyFont="1" applyBorder="1" applyAlignment="1">
      <alignment horizontal="left" vertical="center" wrapText="1" readingOrder="1"/>
    </xf>
    <xf numFmtId="0" fontId="103" fillId="62" borderId="31" xfId="0" applyFont="1" applyFill="1" applyBorder="1" applyAlignment="1">
      <alignment horizontal="left" vertical="center" wrapText="1" readingOrder="1"/>
    </xf>
    <xf numFmtId="0" fontId="105" fillId="29" borderId="31" xfId="0" applyFont="1" applyFill="1" applyBorder="1" applyAlignment="1">
      <alignment horizontal="left" vertical="center" wrapText="1" readingOrder="1"/>
    </xf>
    <xf numFmtId="0" fontId="103" fillId="63" borderId="31" xfId="0" applyFont="1" applyFill="1" applyBorder="1" applyAlignment="1">
      <alignment horizontal="right" vertical="center" wrapText="1" readingOrder="1"/>
    </xf>
    <xf numFmtId="0" fontId="104" fillId="29" borderId="31" xfId="0" applyFont="1" applyFill="1" applyBorder="1" applyAlignment="1">
      <alignment horizontal="left" vertical="center" wrapText="1" readingOrder="1"/>
    </xf>
    <xf numFmtId="0" fontId="105" fillId="4" borderId="31" xfId="0" applyFont="1" applyFill="1" applyBorder="1" applyAlignment="1">
      <alignment horizontal="center" vertical="center" wrapText="1" readingOrder="1"/>
    </xf>
    <xf numFmtId="0" fontId="98" fillId="0" borderId="50" xfId="0" applyFont="1" applyBorder="1" applyAlignment="1">
      <alignment vertical="center" wrapText="1"/>
    </xf>
    <xf numFmtId="0" fontId="98" fillId="0" borderId="0" xfId="0" applyFont="1" applyAlignment="1">
      <alignment vertical="center" wrapText="1"/>
    </xf>
    <xf numFmtId="0" fontId="104" fillId="4" borderId="31" xfId="0" applyFont="1" applyFill="1" applyBorder="1" applyAlignment="1">
      <alignment horizontal="center" vertical="center" wrapText="1" readingOrder="1"/>
    </xf>
    <xf numFmtId="0" fontId="104" fillId="0" borderId="31" xfId="0" applyFont="1" applyBorder="1" applyAlignment="1">
      <alignment horizontal="center" vertical="center" wrapText="1" readingOrder="1"/>
    </xf>
    <xf numFmtId="0" fontId="104" fillId="0" borderId="31" xfId="0" applyFont="1" applyBorder="1" applyAlignment="1">
      <alignment horizontal="right" vertical="center" wrapText="1" readingOrder="1"/>
    </xf>
    <xf numFmtId="194" fontId="104" fillId="64" borderId="31" xfId="0" applyNumberFormat="1" applyFont="1" applyFill="1" applyBorder="1" applyAlignment="1">
      <alignment horizontal="center" vertical="center" wrapText="1" readingOrder="1"/>
    </xf>
    <xf numFmtId="0" fontId="106" fillId="60" borderId="31" xfId="0" applyFont="1" applyFill="1" applyBorder="1" applyAlignment="1">
      <alignment horizontal="center" vertical="center" wrapText="1" readingOrder="1"/>
    </xf>
    <xf numFmtId="0" fontId="96" fillId="61" borderId="31" xfId="0" applyFont="1" applyFill="1" applyBorder="1" applyAlignment="1">
      <alignment horizontal="center" vertical="center" wrapText="1"/>
    </xf>
    <xf numFmtId="1" fontId="96" fillId="61" borderId="31" xfId="0" applyNumberFormat="1" applyFont="1" applyFill="1" applyBorder="1" applyAlignment="1">
      <alignment horizontal="center" vertical="center" wrapText="1"/>
    </xf>
    <xf numFmtId="0" fontId="106" fillId="61" borderId="31" xfId="0" applyFont="1" applyFill="1" applyBorder="1" applyAlignment="1">
      <alignment horizontal="center" vertical="center" wrapText="1" readingOrder="1"/>
    </xf>
    <xf numFmtId="0" fontId="99" fillId="60" borderId="157" xfId="0" applyFont="1" applyFill="1" applyBorder="1" applyAlignment="1">
      <alignment horizontal="center" vertical="center" wrapText="1" readingOrder="1"/>
    </xf>
    <xf numFmtId="0" fontId="99" fillId="60" borderId="158" xfId="0" applyFont="1" applyFill="1" applyBorder="1" applyAlignment="1">
      <alignment horizontal="center" vertical="center" wrapText="1" readingOrder="1"/>
    </xf>
    <xf numFmtId="0" fontId="99" fillId="60" borderId="159" xfId="0" applyFont="1" applyFill="1" applyBorder="1" applyAlignment="1">
      <alignment horizontal="center" vertical="center" wrapText="1" readingOrder="1"/>
    </xf>
    <xf numFmtId="0" fontId="99" fillId="60" borderId="141" xfId="0" applyFont="1" applyFill="1" applyBorder="1" applyAlignment="1">
      <alignment horizontal="center" vertical="center" wrapText="1" readingOrder="1"/>
    </xf>
    <xf numFmtId="0" fontId="95" fillId="60" borderId="160" xfId="0" applyFont="1" applyFill="1" applyBorder="1" applyAlignment="1">
      <alignment horizontal="center" vertical="center" wrapText="1" readingOrder="1"/>
    </xf>
    <xf numFmtId="0" fontId="95" fillId="60" borderId="161" xfId="0" applyFont="1" applyFill="1" applyBorder="1" applyAlignment="1">
      <alignment horizontal="center" vertical="center" wrapText="1" readingOrder="1"/>
    </xf>
    <xf numFmtId="0" fontId="99" fillId="60" borderId="162" xfId="0" applyFont="1" applyFill="1" applyBorder="1" applyAlignment="1">
      <alignment horizontal="center" vertical="center" wrapText="1" readingOrder="1"/>
    </xf>
    <xf numFmtId="0" fontId="99" fillId="60" borderId="163" xfId="0" applyFont="1" applyFill="1" applyBorder="1" applyAlignment="1">
      <alignment horizontal="center" vertical="center" wrapText="1" readingOrder="1"/>
    </xf>
    <xf numFmtId="0" fontId="99" fillId="60" borderId="164" xfId="0" applyFont="1" applyFill="1" applyBorder="1" applyAlignment="1">
      <alignment horizontal="center" vertical="center" wrapText="1" readingOrder="1"/>
    </xf>
    <xf numFmtId="0" fontId="99" fillId="60" borderId="146" xfId="0" applyFont="1" applyFill="1" applyBorder="1" applyAlignment="1">
      <alignment horizontal="center" vertical="center" wrapText="1" readingOrder="1"/>
    </xf>
    <xf numFmtId="0" fontId="99" fillId="60" borderId="147" xfId="0" applyFont="1" applyFill="1" applyBorder="1" applyAlignment="1">
      <alignment horizontal="center" vertical="center" wrapText="1" readingOrder="1"/>
    </xf>
    <xf numFmtId="0" fontId="99" fillId="60" borderId="138" xfId="0" applyFont="1" applyFill="1" applyBorder="1" applyAlignment="1">
      <alignment horizontal="center" vertical="center" wrapText="1" readingOrder="1"/>
    </xf>
    <xf numFmtId="0" fontId="99" fillId="60" borderId="140" xfId="0" applyFont="1" applyFill="1" applyBorder="1" applyAlignment="1">
      <alignment horizontal="center" vertical="center" wrapText="1" readingOrder="1"/>
    </xf>
    <xf numFmtId="0" fontId="99" fillId="60" borderId="136" xfId="0" applyFont="1" applyFill="1" applyBorder="1" applyAlignment="1">
      <alignment horizontal="center" vertical="center" wrapText="1" readingOrder="1"/>
    </xf>
    <xf numFmtId="0" fontId="99" fillId="60" borderId="137" xfId="0" applyFont="1" applyFill="1" applyBorder="1" applyAlignment="1">
      <alignment horizontal="center" vertical="center" wrapText="1" readingOrder="1"/>
    </xf>
    <xf numFmtId="0" fontId="99" fillId="0" borderId="147" xfId="0" applyFont="1" applyBorder="1" applyAlignment="1">
      <alignment horizontal="center" vertical="center" wrapText="1" readingOrder="1"/>
    </xf>
    <xf numFmtId="0" fontId="98" fillId="0" borderId="147" xfId="0" applyFont="1" applyBorder="1" applyAlignment="1">
      <alignment horizontal="center" vertical="center" wrapText="1"/>
    </xf>
    <xf numFmtId="0" fontId="98" fillId="0" borderId="138" xfId="0" applyFont="1" applyBorder="1" applyAlignment="1">
      <alignment horizontal="center" vertical="center" wrapText="1"/>
    </xf>
    <xf numFmtId="0" fontId="96" fillId="60" borderId="140" xfId="0" applyFont="1" applyFill="1" applyBorder="1" applyAlignment="1">
      <alignment horizontal="center" vertical="center" wrapText="1"/>
    </xf>
    <xf numFmtId="0" fontId="99" fillId="60" borderId="145" xfId="0" applyFont="1" applyFill="1" applyBorder="1" applyAlignment="1">
      <alignment horizontal="center" vertical="center" wrapText="1" readingOrder="1"/>
    </xf>
    <xf numFmtId="0" fontId="99" fillId="0" borderId="141" xfId="0" applyFont="1" applyBorder="1" applyAlignment="1">
      <alignment horizontal="center" vertical="center" wrapText="1" readingOrder="1"/>
    </xf>
    <xf numFmtId="0" fontId="99" fillId="0" borderId="145" xfId="0" applyFont="1" applyBorder="1" applyAlignment="1">
      <alignment horizontal="center" vertical="center" wrapText="1" readingOrder="1"/>
    </xf>
    <xf numFmtId="0" fontId="99" fillId="0" borderId="146" xfId="0" applyFont="1" applyBorder="1" applyAlignment="1">
      <alignment horizontal="center" vertical="center" wrapText="1" readingOrder="1"/>
    </xf>
    <xf numFmtId="0" fontId="106" fillId="0" borderId="147" xfId="0" applyFont="1" applyBorder="1" applyAlignment="1">
      <alignment horizontal="center" vertical="center" wrapText="1" readingOrder="1"/>
    </xf>
    <xf numFmtId="0" fontId="99" fillId="60" borderId="155" xfId="0" applyFont="1" applyFill="1" applyBorder="1" applyAlignment="1">
      <alignment horizontal="center" vertical="center" wrapText="1" readingOrder="1"/>
    </xf>
    <xf numFmtId="0" fontId="96" fillId="60" borderId="165" xfId="0" applyFont="1" applyFill="1" applyBorder="1" applyAlignment="1">
      <alignment horizontal="center" vertical="center" wrapText="1"/>
    </xf>
    <xf numFmtId="0" fontId="107" fillId="60" borderId="140" xfId="0" applyFont="1" applyFill="1" applyBorder="1" applyAlignment="1">
      <alignment horizontal="center" vertical="center" wrapText="1" readingOrder="1"/>
    </xf>
    <xf numFmtId="10" fontId="96" fillId="0" borderId="138" xfId="0" applyNumberFormat="1" applyFont="1" applyBorder="1" applyAlignment="1">
      <alignment horizontal="center" vertical="center" wrapText="1"/>
    </xf>
    <xf numFmtId="10" fontId="96" fillId="0" borderId="148" xfId="0" applyNumberFormat="1" applyFont="1" applyBorder="1" applyAlignment="1">
      <alignment horizontal="center" vertical="center" wrapText="1"/>
    </xf>
    <xf numFmtId="0" fontId="108" fillId="60" borderId="141" xfId="0" applyFont="1" applyFill="1" applyBorder="1" applyAlignment="1">
      <alignment horizontal="center" vertical="center" wrapText="1"/>
    </xf>
    <xf numFmtId="0" fontId="108" fillId="60" borderId="145" xfId="0" applyFont="1" applyFill="1" applyBorder="1" applyAlignment="1">
      <alignment horizontal="center" vertical="center" wrapText="1"/>
    </xf>
    <xf numFmtId="0" fontId="95" fillId="60" borderId="166" xfId="0" applyFont="1" applyFill="1" applyBorder="1" applyAlignment="1">
      <alignment horizontal="center" vertical="center" wrapText="1" readingOrder="1"/>
    </xf>
    <xf numFmtId="176" fontId="96" fillId="60" borderId="138" xfId="0" applyNumberFormat="1" applyFont="1" applyFill="1" applyBorder="1" applyAlignment="1">
      <alignment horizontal="center" vertical="center" wrapText="1"/>
    </xf>
    <xf numFmtId="1" fontId="96" fillId="60" borderId="138" xfId="0" applyNumberFormat="1" applyFont="1" applyFill="1" applyBorder="1" applyAlignment="1">
      <alignment horizontal="center" vertical="center" wrapText="1"/>
    </xf>
    <xf numFmtId="0" fontId="96" fillId="60" borderId="167" xfId="0" applyFont="1" applyFill="1" applyBorder="1" applyAlignment="1">
      <alignment horizontal="center" vertical="center" wrapText="1"/>
    </xf>
    <xf numFmtId="0" fontId="108" fillId="60" borderId="146" xfId="0" applyFont="1" applyFill="1" applyBorder="1" applyAlignment="1">
      <alignment horizontal="center" vertical="center" wrapText="1"/>
    </xf>
    <xf numFmtId="0" fontId="95" fillId="60" borderId="136" xfId="0" applyFont="1" applyFill="1" applyBorder="1" applyAlignment="1">
      <alignment horizontal="center" wrapText="1" readingOrder="1"/>
    </xf>
    <xf numFmtId="0" fontId="95" fillId="60" borderId="137" xfId="0" applyFont="1" applyFill="1" applyBorder="1" applyAlignment="1">
      <alignment horizontal="center" wrapText="1" readingOrder="1"/>
    </xf>
    <xf numFmtId="194" fontId="96" fillId="0" borderId="148" xfId="0" applyNumberFormat="1" applyFont="1" applyBorder="1" applyAlignment="1">
      <alignment horizontal="center" vertical="center" wrapText="1"/>
    </xf>
    <xf numFmtId="0" fontId="101" fillId="60" borderId="168" xfId="0" applyFont="1" applyFill="1" applyBorder="1" applyAlignment="1">
      <alignment horizontal="center" vertical="center" wrapText="1" readingOrder="1"/>
    </xf>
    <xf numFmtId="0" fontId="101" fillId="60" borderId="139" xfId="0" applyFont="1" applyFill="1" applyBorder="1" applyAlignment="1">
      <alignment horizontal="center" vertical="center" wrapText="1" readingOrder="1"/>
    </xf>
    <xf numFmtId="0" fontId="101" fillId="60" borderId="169" xfId="0" applyFont="1" applyFill="1" applyBorder="1" applyAlignment="1">
      <alignment horizontal="center" vertical="center" wrapText="1" readingOrder="1"/>
    </xf>
    <xf numFmtId="0" fontId="101" fillId="60" borderId="170" xfId="0" applyFont="1" applyFill="1" applyBorder="1" applyAlignment="1">
      <alignment horizontal="center" vertical="center" wrapText="1" readingOrder="1"/>
    </xf>
    <xf numFmtId="0" fontId="99" fillId="0" borderId="148" xfId="0" applyFont="1" applyBorder="1" applyAlignment="1">
      <alignment horizontal="center" vertical="center" wrapText="1" readingOrder="1"/>
    </xf>
    <xf numFmtId="0" fontId="98" fillId="0" borderId="171" xfId="0" applyFont="1" applyBorder="1" applyAlignment="1">
      <alignment horizontal="center" vertical="center" wrapText="1"/>
    </xf>
    <xf numFmtId="0" fontId="109" fillId="0" borderId="148" xfId="0" applyFont="1" applyBorder="1" applyAlignment="1">
      <alignment horizontal="center" vertical="center" wrapText="1" readingOrder="1"/>
    </xf>
    <xf numFmtId="2" fontId="99" fillId="0" borderId="148" xfId="0" applyNumberFormat="1" applyFont="1" applyBorder="1" applyAlignment="1">
      <alignment horizontal="center" vertical="center" wrapText="1" readingOrder="1"/>
    </xf>
    <xf numFmtId="0" fontId="101" fillId="60" borderId="172" xfId="0" applyFont="1" applyFill="1" applyBorder="1" applyAlignment="1">
      <alignment horizontal="center" vertical="center" wrapText="1" readingOrder="1"/>
    </xf>
    <xf numFmtId="0" fontId="99" fillId="0" borderId="149" xfId="0" applyFont="1" applyBorder="1" applyAlignment="1">
      <alignment horizontal="center" vertical="center" wrapText="1" readingOrder="1"/>
    </xf>
    <xf numFmtId="0" fontId="99" fillId="0" borderId="173" xfId="0" applyFont="1" applyBorder="1" applyAlignment="1">
      <alignment horizontal="center" vertical="center" wrapText="1" readingOrder="1"/>
    </xf>
    <xf numFmtId="0" fontId="95" fillId="60" borderId="157" xfId="0" applyFont="1" applyFill="1" applyBorder="1" applyAlignment="1">
      <alignment horizontal="center" vertical="center" wrapText="1" readingOrder="1"/>
    </xf>
    <xf numFmtId="0" fontId="95" fillId="60" borderId="158" xfId="0" applyFont="1" applyFill="1" applyBorder="1" applyAlignment="1">
      <alignment horizontal="center" vertical="center" wrapText="1" readingOrder="1"/>
    </xf>
    <xf numFmtId="0" fontId="95" fillId="60" borderId="159" xfId="0" applyFont="1" applyFill="1" applyBorder="1" applyAlignment="1">
      <alignment horizontal="center" vertical="center" wrapText="1" readingOrder="1"/>
    </xf>
    <xf numFmtId="0" fontId="95" fillId="60" borderId="147" xfId="0" applyFont="1" applyFill="1" applyBorder="1" applyAlignment="1">
      <alignment horizontal="center" wrapText="1" readingOrder="1"/>
    </xf>
    <xf numFmtId="0" fontId="95" fillId="60" borderId="162" xfId="0" applyFont="1" applyFill="1" applyBorder="1" applyAlignment="1">
      <alignment horizontal="center" vertical="center" wrapText="1" readingOrder="1"/>
    </xf>
    <xf numFmtId="0" fontId="95" fillId="60" borderId="163" xfId="0" applyFont="1" applyFill="1" applyBorder="1" applyAlignment="1">
      <alignment horizontal="center" vertical="center" wrapText="1" readingOrder="1"/>
    </xf>
    <xf numFmtId="0" fontId="95" fillId="60" borderId="164" xfId="0" applyFont="1" applyFill="1" applyBorder="1" applyAlignment="1">
      <alignment horizontal="center" vertical="center" wrapText="1" readingOrder="1"/>
    </xf>
    <xf numFmtId="0" fontId="95" fillId="0" borderId="147" xfId="0" applyFont="1" applyBorder="1" applyAlignment="1">
      <alignment horizontal="center" vertical="center" wrapText="1" readingOrder="1"/>
    </xf>
    <xf numFmtId="0" fontId="98" fillId="0" borderId="147" xfId="0" applyFont="1" applyBorder="1" applyAlignment="1">
      <alignment vertical="center" wrapText="1"/>
    </xf>
    <xf numFmtId="9" fontId="95" fillId="0" borderId="147" xfId="0" applyNumberFormat="1" applyFont="1" applyBorder="1" applyAlignment="1">
      <alignment horizontal="center" vertical="center" wrapText="1" readingOrder="1"/>
    </xf>
    <xf numFmtId="0" fontId="96" fillId="0" borderId="148" xfId="0" applyFont="1" applyBorder="1" applyAlignment="1">
      <alignment vertical="center" wrapText="1"/>
    </xf>
    <xf numFmtId="0" fontId="98" fillId="0" borderId="142" xfId="0" applyFont="1" applyBorder="1" applyAlignment="1">
      <alignment vertical="center" wrapText="1"/>
    </xf>
    <xf numFmtId="0" fontId="96" fillId="0" borderId="143" xfId="0" applyFont="1" applyBorder="1" applyAlignment="1">
      <alignment horizontal="center" vertical="center" wrapText="1"/>
    </xf>
    <xf numFmtId="0" fontId="98" fillId="0" borderId="144" xfId="0" applyFont="1" applyBorder="1" applyAlignment="1">
      <alignment vertical="center" wrapText="1"/>
    </xf>
    <xf numFmtId="0" fontId="30" fillId="0" borderId="0" xfId="0" applyFont="1">
      <alignment vertical="center"/>
    </xf>
    <xf numFmtId="0" fontId="30" fillId="4" borderId="1" xfId="0" applyFont="1" applyFill="1" applyBorder="1" applyAlignment="1">
      <alignment horizontal="left" vertical="center"/>
    </xf>
    <xf numFmtId="0" fontId="30" fillId="4" borderId="1" xfId="0" applyFont="1" applyFill="1" applyBorder="1" applyAlignment="1">
      <alignment horizontal="center" vertical="center"/>
    </xf>
    <xf numFmtId="0" fontId="30" fillId="4" borderId="1" xfId="0" applyFont="1" applyFill="1" applyBorder="1" applyAlignment="1">
      <alignment horizontal="right" vertical="center"/>
    </xf>
    <xf numFmtId="0" fontId="30" fillId="0" borderId="0" xfId="0" applyFont="1" applyAlignment="1">
      <alignment horizontal="center" vertical="center"/>
    </xf>
    <xf numFmtId="0" fontId="0" fillId="4" borderId="2" xfId="0" applyFill="1" applyBorder="1">
      <alignment vertical="center"/>
    </xf>
    <xf numFmtId="0" fontId="30" fillId="24" borderId="10" xfId="0" applyFont="1" applyFill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30" fillId="6" borderId="1" xfId="0" applyFont="1" applyFill="1" applyBorder="1" applyAlignment="1">
      <alignment horizontal="left" vertical="center"/>
    </xf>
    <xf numFmtId="0" fontId="30" fillId="6" borderId="1" xfId="0" applyFont="1" applyFill="1" applyBorder="1" applyAlignment="1">
      <alignment horizontal="center" vertical="center"/>
    </xf>
    <xf numFmtId="0" fontId="0" fillId="0" borderId="1" xfId="0" applyBorder="1" applyProtection="1">
      <alignment vertical="center"/>
      <protection locked="0"/>
    </xf>
    <xf numFmtId="0" fontId="30" fillId="4" borderId="1" xfId="0" applyFont="1" applyFill="1" applyBorder="1" applyAlignment="1" applyProtection="1">
      <alignment horizontal="center" vertical="center"/>
      <protection locked="0"/>
    </xf>
    <xf numFmtId="0" fontId="30" fillId="0" borderId="1" xfId="0" applyFont="1" applyBorder="1" applyProtection="1">
      <alignment vertical="center"/>
      <protection locked="0"/>
    </xf>
    <xf numFmtId="0" fontId="30" fillId="24" borderId="1" xfId="0" applyFont="1" applyFill="1" applyBorder="1" applyAlignment="1">
      <alignment horizontal="left" vertical="center"/>
    </xf>
    <xf numFmtId="0" fontId="30" fillId="24" borderId="1" xfId="0" applyFont="1" applyFill="1" applyBorder="1" applyAlignment="1" applyProtection="1">
      <alignment horizontal="center" vertical="center"/>
    </xf>
    <xf numFmtId="0" fontId="69" fillId="29" borderId="1" xfId="0" applyFont="1" applyFill="1" applyBorder="1" applyProtection="1">
      <alignment vertical="center"/>
      <protection locked="0"/>
    </xf>
    <xf numFmtId="0" fontId="30" fillId="6" borderId="1" xfId="0" applyFont="1" applyFill="1" applyBorder="1" applyAlignment="1">
      <alignment horizontal="right" vertical="center"/>
    </xf>
    <xf numFmtId="0" fontId="35" fillId="29" borderId="1" xfId="0" applyFont="1" applyFill="1" applyBorder="1" applyProtection="1">
      <alignment vertical="center"/>
      <protection locked="0"/>
    </xf>
    <xf numFmtId="0" fontId="32" fillId="61" borderId="0" xfId="0" applyFont="1" applyFill="1" applyBorder="1" applyAlignment="1">
      <alignment horizontal="center" vertical="center"/>
    </xf>
    <xf numFmtId="0" fontId="110" fillId="59" borderId="11" xfId="0" applyFont="1" applyFill="1" applyBorder="1" applyAlignment="1">
      <alignment horizontal="center" vertical="center" wrapText="1"/>
    </xf>
    <xf numFmtId="0" fontId="79" fillId="59" borderId="11" xfId="0" applyFont="1" applyFill="1" applyBorder="1" applyAlignment="1">
      <alignment horizontal="center" vertical="center" wrapText="1"/>
    </xf>
    <xf numFmtId="0" fontId="111" fillId="61" borderId="126" xfId="0" applyFont="1" applyFill="1" applyBorder="1" applyAlignment="1">
      <alignment horizontal="center" vertical="center" wrapText="1" readingOrder="1"/>
    </xf>
    <xf numFmtId="0" fontId="41" fillId="61" borderId="0" xfId="0" applyFont="1" applyFill="1" applyBorder="1" applyAlignment="1">
      <alignment vertical="center" wrapText="1" readingOrder="1"/>
    </xf>
    <xf numFmtId="0" fontId="112" fillId="61" borderId="0" xfId="0" applyFont="1" applyFill="1" applyBorder="1" applyAlignment="1">
      <alignment horizontal="center" vertical="center" wrapText="1"/>
    </xf>
    <xf numFmtId="0" fontId="41" fillId="61" borderId="0" xfId="0" applyFont="1" applyFill="1" applyBorder="1" applyAlignment="1">
      <alignment horizontal="center" vertical="center" wrapText="1"/>
    </xf>
    <xf numFmtId="0" fontId="111" fillId="61" borderId="0" xfId="0" applyFont="1" applyFill="1" applyBorder="1" applyAlignment="1">
      <alignment horizontal="center" vertical="center" wrapText="1"/>
    </xf>
    <xf numFmtId="0" fontId="111" fillId="61" borderId="0" xfId="0" applyFont="1" applyFill="1" applyBorder="1" applyAlignment="1">
      <alignment horizontal="center" vertical="center" wrapText="1" readingOrder="1"/>
    </xf>
    <xf numFmtId="0" fontId="41" fillId="61" borderId="104" xfId="0" applyFont="1" applyFill="1" applyBorder="1" applyAlignment="1">
      <alignment vertical="center" wrapText="1" readingOrder="1"/>
    </xf>
    <xf numFmtId="0" fontId="112" fillId="61" borderId="104" xfId="0" applyFont="1" applyFill="1" applyBorder="1" applyAlignment="1">
      <alignment horizontal="center" vertical="center" wrapText="1"/>
    </xf>
    <xf numFmtId="0" fontId="41" fillId="61" borderId="104" xfId="0" applyFont="1" applyFill="1" applyBorder="1" applyAlignment="1">
      <alignment horizontal="center" vertical="center" wrapText="1"/>
    </xf>
    <xf numFmtId="0" fontId="111" fillId="61" borderId="104" xfId="0" applyFont="1" applyFill="1" applyBorder="1" applyAlignment="1">
      <alignment horizontal="center" vertical="center" wrapText="1"/>
    </xf>
    <xf numFmtId="0" fontId="111" fillId="61" borderId="104" xfId="0" applyFont="1" applyFill="1" applyBorder="1" applyAlignment="1">
      <alignment horizontal="center" vertical="center" wrapText="1" readingOrder="1"/>
    </xf>
    <xf numFmtId="0" fontId="41" fillId="61" borderId="11" xfId="0" applyFont="1" applyFill="1" applyBorder="1" applyAlignment="1">
      <alignment vertical="center" wrapText="1" readingOrder="1"/>
    </xf>
    <xf numFmtId="0" fontId="112" fillId="61" borderId="11" xfId="0" applyFont="1" applyFill="1" applyBorder="1" applyAlignment="1">
      <alignment horizontal="center" vertical="center" wrapText="1" readingOrder="1"/>
    </xf>
    <xf numFmtId="0" fontId="41" fillId="61" borderId="11" xfId="0" applyFont="1" applyFill="1" applyBorder="1" applyAlignment="1">
      <alignment horizontal="center" vertical="center" wrapText="1" readingOrder="1"/>
    </xf>
    <xf numFmtId="0" fontId="111" fillId="61" borderId="11" xfId="0" applyFont="1" applyFill="1" applyBorder="1" applyAlignment="1">
      <alignment horizontal="center" vertical="center" wrapText="1" readingOrder="1"/>
    </xf>
    <xf numFmtId="0" fontId="111" fillId="61" borderId="0" xfId="0" applyFont="1" applyFill="1" applyBorder="1" applyAlignment="1">
      <alignment vertical="center" wrapText="1" readingOrder="1"/>
    </xf>
    <xf numFmtId="0" fontId="112" fillId="61" borderId="0" xfId="0" applyFont="1" applyFill="1" applyBorder="1" applyAlignment="1">
      <alignment horizontal="center" vertical="center" wrapText="1" readingOrder="1"/>
    </xf>
    <xf numFmtId="0" fontId="41" fillId="61" borderId="0" xfId="0" applyFont="1" applyFill="1" applyBorder="1" applyAlignment="1">
      <alignment horizontal="center" vertical="center" wrapText="1" readingOrder="1"/>
    </xf>
    <xf numFmtId="0" fontId="111" fillId="61" borderId="0" xfId="0" applyFont="1" applyFill="1" applyBorder="1" applyAlignment="1">
      <alignment horizontal="center" vertical="center"/>
    </xf>
    <xf numFmtId="0" fontId="111" fillId="61" borderId="104" xfId="0" applyFont="1" applyFill="1" applyBorder="1" applyAlignment="1">
      <alignment vertical="center" wrapText="1" readingOrder="1"/>
    </xf>
    <xf numFmtId="0" fontId="112" fillId="61" borderId="104" xfId="0" applyFont="1" applyFill="1" applyBorder="1" applyAlignment="1">
      <alignment horizontal="center" vertical="center" wrapText="1" readingOrder="1"/>
    </xf>
    <xf numFmtId="0" fontId="41" fillId="61" borderId="104" xfId="0" applyFont="1" applyFill="1" applyBorder="1" applyAlignment="1">
      <alignment horizontal="center" vertical="center" wrapText="1" readingOrder="1"/>
    </xf>
    <xf numFmtId="0" fontId="111" fillId="61" borderId="104" xfId="0" applyFont="1" applyFill="1" applyBorder="1" applyAlignment="1">
      <alignment horizontal="center" vertical="center"/>
    </xf>
    <xf numFmtId="0" fontId="41" fillId="61" borderId="0" xfId="0" applyFont="1" applyFill="1" applyAlignment="1">
      <alignment vertical="center" wrapText="1" readingOrder="1"/>
    </xf>
    <xf numFmtId="0" fontId="112" fillId="61" borderId="0" xfId="0" applyFont="1" applyFill="1" applyAlignment="1">
      <alignment horizontal="center" vertical="center" wrapText="1" readingOrder="1"/>
    </xf>
    <xf numFmtId="0" fontId="41" fillId="61" borderId="0" xfId="0" applyFont="1" applyFill="1" applyAlignment="1">
      <alignment horizontal="center" vertical="center" wrapText="1" readingOrder="1"/>
    </xf>
    <xf numFmtId="0" fontId="111" fillId="61" borderId="0" xfId="0" applyFont="1" applyFill="1" applyAlignment="1">
      <alignment horizontal="center" vertical="center" wrapText="1" readingOrder="1"/>
    </xf>
    <xf numFmtId="0" fontId="110" fillId="59" borderId="104" xfId="0" applyFont="1" applyFill="1" applyBorder="1" applyAlignment="1">
      <alignment horizontal="center" vertical="center" wrapText="1" readingOrder="1"/>
    </xf>
    <xf numFmtId="0" fontId="79" fillId="59" borderId="104" xfId="0" applyFont="1" applyFill="1" applyBorder="1" applyAlignment="1">
      <alignment horizontal="center" vertical="center" wrapText="1" readingOrder="1"/>
    </xf>
    <xf numFmtId="9" fontId="112" fillId="61" borderId="0" xfId="0" applyNumberFormat="1" applyFont="1" applyFill="1" applyAlignment="1">
      <alignment horizontal="center" vertical="center" wrapText="1" readingOrder="1"/>
    </xf>
    <xf numFmtId="9" fontId="112" fillId="61" borderId="104" xfId="0" applyNumberFormat="1" applyFont="1" applyFill="1" applyBorder="1" applyAlignment="1">
      <alignment horizontal="center" vertical="center" wrapText="1" readingOrder="1"/>
    </xf>
    <xf numFmtId="0" fontId="113" fillId="0" borderId="1" xfId="0" applyFont="1" applyBorder="1" applyAlignment="1">
      <alignment horizontal="center" vertical="center"/>
    </xf>
    <xf numFmtId="0" fontId="41" fillId="19" borderId="1" xfId="0" applyFont="1" applyFill="1" applyBorder="1" applyAlignment="1">
      <alignment horizontal="center" vertical="center" wrapText="1"/>
    </xf>
    <xf numFmtId="0" fontId="114" fillId="0" borderId="1" xfId="0" applyFont="1" applyBorder="1" applyAlignment="1">
      <alignment horizontal="center" vertical="center"/>
    </xf>
    <xf numFmtId="0" fontId="41" fillId="2" borderId="1" xfId="0" applyFont="1" applyFill="1" applyBorder="1" applyAlignment="1">
      <alignment horizontal="center" vertical="center"/>
    </xf>
    <xf numFmtId="0" fontId="41" fillId="65" borderId="1" xfId="0" applyFont="1" applyFill="1" applyBorder="1" applyAlignment="1">
      <alignment horizontal="center" vertical="center" wrapText="1"/>
    </xf>
    <xf numFmtId="0" fontId="41" fillId="2" borderId="1" xfId="0" applyFont="1" applyFill="1" applyBorder="1" applyAlignment="1">
      <alignment horizontal="center" vertical="center" wrapText="1"/>
    </xf>
    <xf numFmtId="0" fontId="115" fillId="4" borderId="1" xfId="0" applyFont="1" applyFill="1" applyBorder="1" applyAlignment="1">
      <alignment horizontal="center" vertical="center" wrapText="1"/>
    </xf>
    <xf numFmtId="0" fontId="116" fillId="0" borderId="0" xfId="0" applyFont="1" applyAlignment="1"/>
    <xf numFmtId="0" fontId="117" fillId="0" borderId="1" xfId="0" applyFont="1" applyBorder="1" applyAlignment="1">
      <alignment horizontal="center" vertical="center"/>
    </xf>
    <xf numFmtId="0" fontId="24" fillId="19" borderId="1" xfId="0" applyFont="1" applyFill="1" applyBorder="1" applyAlignment="1">
      <alignment horizontal="center" vertical="center" wrapText="1"/>
    </xf>
    <xf numFmtId="0" fontId="24" fillId="19" borderId="2" xfId="0" applyFont="1" applyFill="1" applyBorder="1" applyAlignment="1">
      <alignment horizontal="center" vertical="center" wrapText="1"/>
    </xf>
    <xf numFmtId="0" fontId="118" fillId="0" borderId="1" xfId="0" applyFont="1" applyBorder="1" applyAlignment="1">
      <alignment horizontal="center" vertical="center"/>
    </xf>
    <xf numFmtId="0" fontId="24" fillId="19" borderId="4" xfId="0" applyFont="1" applyFill="1" applyBorder="1" applyAlignment="1">
      <alignment horizontal="center" vertical="center" wrapText="1"/>
    </xf>
    <xf numFmtId="0" fontId="24" fillId="4" borderId="1" xfId="0" applyFont="1" applyFill="1" applyBorder="1" applyAlignment="1">
      <alignment horizontal="center" vertical="center"/>
    </xf>
    <xf numFmtId="0" fontId="24" fillId="65" borderId="1" xfId="0" applyFont="1" applyFill="1" applyBorder="1" applyAlignment="1">
      <alignment horizontal="center" vertical="center" wrapText="1"/>
    </xf>
    <xf numFmtId="0" fontId="24" fillId="2" borderId="1" xfId="0" applyFont="1" applyFill="1" applyBorder="1" applyAlignment="1">
      <alignment horizontal="center" vertical="center"/>
    </xf>
    <xf numFmtId="0" fontId="24" fillId="0" borderId="1" xfId="0" applyFont="1" applyFill="1" applyBorder="1" applyAlignment="1">
      <alignment horizontal="center" vertical="center"/>
    </xf>
    <xf numFmtId="0" fontId="119" fillId="2" borderId="1" xfId="0" applyFont="1" applyFill="1" applyBorder="1" applyAlignment="1">
      <alignment horizontal="center" vertical="center"/>
    </xf>
    <xf numFmtId="0" fontId="119" fillId="2" borderId="1" xfId="0" applyFont="1" applyFill="1" applyBorder="1" applyAlignment="1">
      <alignment horizontal="center" vertical="center" wrapText="1"/>
    </xf>
    <xf numFmtId="0" fontId="24" fillId="10" borderId="1" xfId="0" applyFont="1" applyFill="1" applyBorder="1" applyAlignment="1">
      <alignment horizontal="center" vertical="center" wrapText="1"/>
    </xf>
    <xf numFmtId="0" fontId="24" fillId="8" borderId="1" xfId="0" applyFont="1" applyFill="1" applyBorder="1" applyAlignment="1">
      <alignment horizontal="center" vertical="center" wrapText="1"/>
    </xf>
    <xf numFmtId="0" fontId="119" fillId="0" borderId="1" xfId="0" applyFont="1" applyFill="1" applyBorder="1" applyAlignment="1">
      <alignment horizontal="center" vertical="center" wrapText="1"/>
    </xf>
    <xf numFmtId="0" fontId="119" fillId="0" borderId="1" xfId="0" applyFont="1" applyFill="1" applyBorder="1" applyAlignment="1">
      <alignment horizontal="center" vertical="center"/>
    </xf>
    <xf numFmtId="0" fontId="0" fillId="0" borderId="1" xfId="0" applyFill="1" applyBorder="1" applyAlignment="1">
      <alignment horizontal="right" vertical="center"/>
    </xf>
    <xf numFmtId="194" fontId="0" fillId="11" borderId="1" xfId="0" applyNumberFormat="1" applyFill="1" applyBorder="1">
      <alignment vertical="center"/>
    </xf>
    <xf numFmtId="9" fontId="112" fillId="61" borderId="0" xfId="0" applyNumberFormat="1" applyFont="1" applyFill="1" applyBorder="1" applyAlignment="1">
      <alignment horizontal="center" vertical="center" wrapText="1" readingOrder="1"/>
    </xf>
    <xf numFmtId="9" fontId="112" fillId="61" borderId="11" xfId="0" applyNumberFormat="1" applyFont="1" applyFill="1" applyBorder="1" applyAlignment="1">
      <alignment horizontal="center" vertical="center" wrapText="1" readingOrder="1"/>
    </xf>
    <xf numFmtId="9" fontId="120" fillId="61" borderId="11" xfId="0" applyNumberFormat="1" applyFont="1" applyFill="1" applyBorder="1" applyAlignment="1">
      <alignment horizontal="center" vertical="center" wrapText="1" readingOrder="1"/>
    </xf>
    <xf numFmtId="0" fontId="0" fillId="0" borderId="0" xfId="0" applyBorder="1" applyAlignment="1"/>
    <xf numFmtId="0" fontId="29" fillId="0" borderId="104" xfId="0" applyFont="1" applyBorder="1" applyAlignment="1"/>
    <xf numFmtId="0" fontId="74" fillId="61" borderId="0" xfId="0" applyFont="1" applyFill="1" applyAlignment="1">
      <alignment vertical="center"/>
    </xf>
    <xf numFmtId="0" fontId="112" fillId="61" borderId="0" xfId="0" applyFont="1" applyFill="1" applyAlignment="1">
      <alignment vertical="center" wrapText="1"/>
    </xf>
    <xf numFmtId="0" fontId="0" fillId="61" borderId="0" xfId="0" applyFill="1" applyAlignment="1"/>
    <xf numFmtId="0" fontId="41" fillId="19" borderId="1" xfId="0" applyFont="1" applyFill="1" applyBorder="1" applyAlignment="1">
      <alignment horizontal="center" vertical="center"/>
    </xf>
    <xf numFmtId="0" fontId="121" fillId="0" borderId="1" xfId="0" applyFont="1" applyFill="1" applyBorder="1" applyAlignment="1">
      <alignment horizontal="center" vertical="center" wrapText="1"/>
    </xf>
    <xf numFmtId="0" fontId="41" fillId="0" borderId="1" xfId="0" applyFont="1" applyFill="1" applyBorder="1" applyAlignment="1">
      <alignment horizontal="center" vertical="center" wrapText="1"/>
    </xf>
    <xf numFmtId="0" fontId="115" fillId="4" borderId="1" xfId="0" applyFont="1" applyFill="1" applyBorder="1" applyAlignment="1">
      <alignment horizontal="center" vertical="center"/>
    </xf>
    <xf numFmtId="0" fontId="24" fillId="19" borderId="1" xfId="0" applyFont="1" applyFill="1" applyBorder="1" applyAlignment="1">
      <alignment horizontal="center" vertical="center"/>
    </xf>
    <xf numFmtId="49" fontId="24" fillId="2" borderId="1" xfId="0" applyNumberFormat="1" applyFont="1" applyFill="1" applyBorder="1" applyAlignment="1">
      <alignment horizontal="center" vertical="center"/>
    </xf>
    <xf numFmtId="0" fontId="24" fillId="0" borderId="1" xfId="0" applyFont="1" applyFill="1" applyBorder="1" applyAlignment="1">
      <alignment horizontal="center" vertical="center" wrapText="1"/>
    </xf>
    <xf numFmtId="0" fontId="122" fillId="0" borderId="1" xfId="0" applyFont="1" applyFill="1" applyBorder="1" applyAlignment="1">
      <alignment horizontal="center" vertical="center" wrapText="1"/>
    </xf>
    <xf numFmtId="0" fontId="122" fillId="4" borderId="1" xfId="0" applyFont="1" applyFill="1" applyBorder="1" applyAlignment="1">
      <alignment horizontal="center" vertical="center" wrapText="1"/>
    </xf>
    <xf numFmtId="49" fontId="119" fillId="2" borderId="1" xfId="0" applyNumberFormat="1" applyFont="1" applyFill="1" applyBorder="1" applyAlignment="1">
      <alignment horizontal="center" vertical="center"/>
    </xf>
    <xf numFmtId="0" fontId="119" fillId="4" borderId="1" xfId="0" applyFont="1" applyFill="1" applyBorder="1" applyAlignment="1">
      <alignment horizontal="center" vertical="center" wrapText="1"/>
    </xf>
    <xf numFmtId="0" fontId="24" fillId="4" borderId="1" xfId="0" applyFont="1" applyFill="1" applyBorder="1" applyAlignment="1">
      <alignment horizontal="center" vertical="center" wrapText="1"/>
    </xf>
    <xf numFmtId="49" fontId="119" fillId="0" borderId="1" xfId="0" applyNumberFormat="1" applyFont="1" applyFill="1" applyBorder="1" applyAlignment="1">
      <alignment horizontal="center" vertical="center"/>
    </xf>
    <xf numFmtId="0" fontId="44" fillId="4" borderId="1" xfId="0" applyFont="1" applyFill="1" applyBorder="1">
      <alignment vertical="center"/>
    </xf>
    <xf numFmtId="0" fontId="30" fillId="24" borderId="4" xfId="0" applyFont="1" applyFill="1" applyBorder="1" applyAlignment="1" applyProtection="1">
      <alignment horizontal="center" vertical="center"/>
    </xf>
    <xf numFmtId="0" fontId="30" fillId="0" borderId="0" xfId="0" applyFont="1" applyFill="1" applyAlignment="1" applyProtection="1">
      <alignment vertical="center"/>
    </xf>
    <xf numFmtId="0" fontId="30" fillId="22" borderId="1" xfId="0" applyFont="1" applyFill="1" applyBorder="1" applyAlignment="1" applyProtection="1">
      <alignment horizontal="center" vertical="center" wrapText="1"/>
    </xf>
    <xf numFmtId="0" fontId="30" fillId="6" borderId="1" xfId="0" applyFont="1" applyFill="1" applyBorder="1" applyAlignment="1" applyProtection="1">
      <alignment horizontal="left" vertical="center"/>
    </xf>
    <xf numFmtId="0" fontId="30" fillId="6" borderId="1" xfId="0" applyFont="1" applyFill="1" applyBorder="1" applyAlignment="1" applyProtection="1">
      <alignment horizontal="center" vertical="center"/>
    </xf>
    <xf numFmtId="0" fontId="30" fillId="4" borderId="1" xfId="0" applyFont="1" applyFill="1" applyBorder="1" applyAlignment="1" applyProtection="1">
      <alignment horizontal="center" vertical="center"/>
    </xf>
    <xf numFmtId="0" fontId="30" fillId="26" borderId="1" xfId="0" applyFont="1" applyFill="1" applyBorder="1" applyAlignment="1" applyProtection="1">
      <alignment horizontal="center" vertical="center"/>
    </xf>
    <xf numFmtId="0" fontId="123" fillId="0" borderId="1" xfId="0" applyFont="1" applyFill="1" applyBorder="1" applyAlignment="1" applyProtection="1">
      <alignment horizontal="center" vertical="center"/>
    </xf>
    <xf numFmtId="0" fontId="0" fillId="0" borderId="0" xfId="0" applyProtection="1">
      <alignment vertical="center"/>
    </xf>
    <xf numFmtId="0" fontId="30" fillId="22" borderId="1" xfId="0" applyFont="1" applyFill="1" applyBorder="1" applyAlignment="1" applyProtection="1">
      <alignment horizontal="center" vertical="center"/>
    </xf>
    <xf numFmtId="0" fontId="30" fillId="66" borderId="1" xfId="0" applyFont="1" applyFill="1" applyBorder="1" applyAlignment="1" applyProtection="1">
      <alignment horizontal="center" vertical="center"/>
    </xf>
    <xf numFmtId="0" fontId="30" fillId="0" borderId="1" xfId="0" applyFont="1" applyFill="1" applyBorder="1" applyAlignment="1" applyProtection="1">
      <alignment horizontal="center" vertical="center"/>
    </xf>
    <xf numFmtId="0" fontId="30" fillId="23" borderId="1" xfId="0" applyFont="1" applyFill="1" applyBorder="1" applyAlignment="1" applyProtection="1">
      <alignment horizontal="center" vertical="center" wrapText="1"/>
    </xf>
    <xf numFmtId="0" fontId="30" fillId="23" borderId="1" xfId="0" applyFont="1" applyFill="1" applyBorder="1" applyAlignment="1" applyProtection="1">
      <alignment horizontal="center" vertical="center"/>
    </xf>
    <xf numFmtId="194" fontId="30" fillId="24" borderId="1" xfId="0" applyNumberFormat="1" applyFont="1" applyFill="1" applyBorder="1" applyAlignment="1">
      <alignment horizontal="center" vertical="center"/>
    </xf>
    <xf numFmtId="2" fontId="29" fillId="0" borderId="0" xfId="0" applyNumberFormat="1" applyFont="1">
      <alignment vertical="center"/>
    </xf>
    <xf numFmtId="0" fontId="0" fillId="0" borderId="0" xfId="0" applyFill="1" applyBorder="1">
      <alignment vertical="center"/>
    </xf>
    <xf numFmtId="0" fontId="30" fillId="0" borderId="0" xfId="0" applyFont="1" applyFill="1" applyBorder="1" applyAlignment="1">
      <alignment horizontal="left" vertical="center"/>
    </xf>
    <xf numFmtId="0" fontId="30" fillId="0" borderId="0" xfId="0" applyFont="1" applyFill="1" applyBorder="1" applyAlignment="1">
      <alignment horizontal="center" vertical="center"/>
    </xf>
    <xf numFmtId="2" fontId="30" fillId="7" borderId="1" xfId="0" applyNumberFormat="1" applyFont="1" applyFill="1" applyBorder="1" applyAlignment="1">
      <alignment horizontal="left" vertical="center"/>
    </xf>
    <xf numFmtId="193" fontId="30" fillId="7" borderId="1" xfId="0" applyNumberFormat="1" applyFont="1" applyFill="1" applyBorder="1" applyAlignment="1">
      <alignment horizontal="left" vertical="center"/>
    </xf>
    <xf numFmtId="0" fontId="29" fillId="0" borderId="0" xfId="0" applyFont="1" applyAlignment="1">
      <alignment vertical="center"/>
    </xf>
    <xf numFmtId="0" fontId="30" fillId="9" borderId="1" xfId="0" applyFont="1" applyFill="1" applyBorder="1" applyAlignment="1">
      <alignment horizontal="left" vertical="center"/>
    </xf>
    <xf numFmtId="0" fontId="30" fillId="6" borderId="1" xfId="0" applyFont="1" applyFill="1" applyBorder="1" applyAlignment="1" applyProtection="1">
      <alignment horizontal="center" vertical="center"/>
      <protection locked="0"/>
    </xf>
    <xf numFmtId="11" fontId="30" fillId="35" borderId="1" xfId="0" applyNumberFormat="1" applyFont="1" applyFill="1" applyBorder="1" applyAlignment="1">
      <alignment horizontal="center" vertical="center"/>
    </xf>
    <xf numFmtId="0" fontId="74" fillId="9" borderId="1" xfId="0" applyFont="1" applyFill="1" applyBorder="1" applyAlignment="1">
      <alignment horizontal="left" vertical="center"/>
    </xf>
    <xf numFmtId="0" fontId="30" fillId="35" borderId="1" xfId="0" applyFont="1" applyFill="1" applyBorder="1" applyAlignment="1">
      <alignment horizontal="center" vertical="center"/>
    </xf>
    <xf numFmtId="0" fontId="124" fillId="9" borderId="1" xfId="0" applyFont="1" applyFill="1" applyBorder="1" applyAlignment="1">
      <alignment horizontal="left" vertical="center"/>
    </xf>
    <xf numFmtId="193" fontId="30" fillId="6" borderId="1" xfId="0" applyNumberFormat="1" applyFont="1" applyFill="1" applyBorder="1" applyAlignment="1">
      <alignment horizontal="center" vertical="center"/>
    </xf>
    <xf numFmtId="0" fontId="30" fillId="24" borderId="10" xfId="0" applyFont="1" applyFill="1" applyBorder="1" applyAlignment="1" applyProtection="1">
      <alignment horizontal="center" vertical="center"/>
    </xf>
    <xf numFmtId="0" fontId="30" fillId="24" borderId="12" xfId="0" applyFont="1" applyFill="1" applyBorder="1" applyAlignment="1" applyProtection="1">
      <alignment horizontal="center" vertical="center"/>
    </xf>
    <xf numFmtId="0" fontId="30" fillId="22" borderId="110" xfId="0" applyFont="1" applyFill="1" applyBorder="1" applyAlignment="1" applyProtection="1">
      <alignment horizontal="center" vertical="center" wrapText="1"/>
    </xf>
    <xf numFmtId="0" fontId="30" fillId="22" borderId="90" xfId="0" applyFont="1" applyFill="1" applyBorder="1" applyAlignment="1" applyProtection="1">
      <alignment horizontal="center" vertical="center" wrapText="1"/>
    </xf>
    <xf numFmtId="0" fontId="123" fillId="0" borderId="10" xfId="0" applyFont="1" applyFill="1" applyBorder="1" applyAlignment="1" applyProtection="1">
      <alignment horizontal="center" vertical="center"/>
    </xf>
    <xf numFmtId="0" fontId="123" fillId="0" borderId="12" xfId="0" applyFont="1" applyFill="1" applyBorder="1" applyAlignment="1" applyProtection="1">
      <alignment horizontal="center" vertical="center"/>
    </xf>
    <xf numFmtId="0" fontId="30" fillId="22" borderId="125" xfId="0" applyFont="1" applyFill="1" applyBorder="1" applyAlignment="1" applyProtection="1">
      <alignment horizontal="center" vertical="center" wrapText="1"/>
    </xf>
    <xf numFmtId="0" fontId="30" fillId="22" borderId="9" xfId="0" applyFont="1" applyFill="1" applyBorder="1" applyAlignment="1" applyProtection="1">
      <alignment horizontal="center" vertical="center" wrapText="1"/>
    </xf>
    <xf numFmtId="0" fontId="30" fillId="0" borderId="10" xfId="0" applyFont="1" applyFill="1" applyBorder="1" applyAlignment="1" applyProtection="1">
      <alignment horizontal="center" vertical="center"/>
    </xf>
    <xf numFmtId="0" fontId="30" fillId="0" borderId="12" xfId="0" applyFont="1" applyFill="1" applyBorder="1" applyAlignment="1" applyProtection="1">
      <alignment horizontal="center" vertical="center"/>
    </xf>
    <xf numFmtId="0" fontId="30" fillId="22" borderId="124" xfId="0" applyFont="1" applyFill="1" applyBorder="1" applyAlignment="1" applyProtection="1">
      <alignment horizontal="center" vertical="center" wrapText="1"/>
    </xf>
    <xf numFmtId="0" fontId="30" fillId="22" borderId="6" xfId="0" applyFont="1" applyFill="1" applyBorder="1" applyAlignment="1" applyProtection="1">
      <alignment horizontal="center" vertical="center" wrapText="1"/>
    </xf>
    <xf numFmtId="0" fontId="30" fillId="6" borderId="12" xfId="0" applyFont="1" applyFill="1" applyBorder="1" applyAlignment="1" applyProtection="1">
      <alignment horizontal="left" vertical="center"/>
    </xf>
    <xf numFmtId="0" fontId="30" fillId="26" borderId="2" xfId="0" applyFont="1" applyFill="1" applyBorder="1" applyAlignment="1" applyProtection="1">
      <alignment horizontal="center" vertical="center"/>
    </xf>
    <xf numFmtId="0" fontId="74" fillId="0" borderId="10" xfId="0" applyFont="1" applyFill="1" applyBorder="1" applyAlignment="1" applyProtection="1">
      <alignment horizontal="center" vertical="center"/>
    </xf>
    <xf numFmtId="0" fontId="74" fillId="0" borderId="12" xfId="0" applyFont="1" applyFill="1" applyBorder="1" applyAlignment="1" applyProtection="1">
      <alignment horizontal="center" vertical="center"/>
    </xf>
    <xf numFmtId="0" fontId="30" fillId="4" borderId="2" xfId="0" applyNumberFormat="1" applyFont="1" applyFill="1" applyBorder="1" applyAlignment="1" applyProtection="1">
      <alignment horizontal="center" vertical="center"/>
    </xf>
    <xf numFmtId="0" fontId="30" fillId="26" borderId="3" xfId="0" applyFont="1" applyFill="1" applyBorder="1" applyAlignment="1" applyProtection="1">
      <alignment horizontal="center" vertical="center"/>
    </xf>
    <xf numFmtId="0" fontId="30" fillId="4" borderId="3" xfId="0" applyNumberFormat="1" applyFont="1" applyFill="1" applyBorder="1" applyAlignment="1" applyProtection="1">
      <alignment horizontal="center" vertical="center"/>
    </xf>
    <xf numFmtId="0" fontId="30" fillId="6" borderId="12" xfId="0" applyFont="1" applyFill="1" applyBorder="1" applyAlignment="1" applyProtection="1">
      <alignment vertical="center"/>
    </xf>
    <xf numFmtId="0" fontId="30" fillId="6" borderId="90" xfId="0" applyFont="1" applyFill="1" applyBorder="1" applyAlignment="1" applyProtection="1">
      <alignment horizontal="left" vertical="center"/>
    </xf>
    <xf numFmtId="0" fontId="30" fillId="6" borderId="6" xfId="0" applyFont="1" applyFill="1" applyBorder="1" applyAlignment="1" applyProtection="1">
      <alignment horizontal="left" vertical="center"/>
    </xf>
    <xf numFmtId="0" fontId="30" fillId="4" borderId="4" xfId="0" applyNumberFormat="1" applyFont="1" applyFill="1" applyBorder="1" applyAlignment="1" applyProtection="1">
      <alignment horizontal="center" vertical="center"/>
    </xf>
    <xf numFmtId="0" fontId="30" fillId="26" borderId="4" xfId="0" applyFont="1" applyFill="1" applyBorder="1" applyAlignment="1" applyProtection="1">
      <alignment horizontal="center" vertical="center"/>
    </xf>
    <xf numFmtId="0" fontId="30" fillId="56" borderId="1" xfId="0" applyFont="1" applyFill="1" applyBorder="1" applyAlignment="1">
      <alignment horizontal="center" vertical="center"/>
    </xf>
    <xf numFmtId="0" fontId="30" fillId="56" borderId="1" xfId="0" applyFont="1" applyFill="1" applyBorder="1" applyAlignment="1">
      <alignment horizontal="center" vertical="center" wrapText="1"/>
    </xf>
    <xf numFmtId="194" fontId="30" fillId="56" borderId="1" xfId="0" applyNumberFormat="1" applyFont="1" applyFill="1" applyBorder="1" applyAlignment="1">
      <alignment horizontal="center" vertical="center"/>
    </xf>
    <xf numFmtId="0" fontId="30" fillId="0" borderId="0" xfId="0" applyFont="1" applyFill="1">
      <alignment vertical="center"/>
    </xf>
    <xf numFmtId="0" fontId="0" fillId="0" borderId="1" xfId="0" applyBorder="1" applyAlignment="1">
      <alignment vertical="center"/>
    </xf>
    <xf numFmtId="0" fontId="0" fillId="4" borderId="1" xfId="0" applyFill="1" applyBorder="1" applyAlignment="1">
      <alignment vertical="center"/>
    </xf>
    <xf numFmtId="0" fontId="29" fillId="0" borderId="1" xfId="0" applyFont="1" applyBorder="1" applyAlignment="1">
      <alignment vertical="center"/>
    </xf>
    <xf numFmtId="0" fontId="0" fillId="6" borderId="1" xfId="0" applyFill="1" applyBorder="1" applyAlignment="1">
      <alignment vertical="center"/>
    </xf>
    <xf numFmtId="0" fontId="30" fillId="56" borderId="10" xfId="0" applyFont="1" applyFill="1" applyBorder="1" applyAlignment="1">
      <alignment horizontal="center" vertical="center"/>
    </xf>
    <xf numFmtId="0" fontId="30" fillId="56" borderId="12" xfId="0" applyFont="1" applyFill="1" applyBorder="1" applyAlignment="1">
      <alignment horizontal="center" vertical="center"/>
    </xf>
    <xf numFmtId="0" fontId="74" fillId="0" borderId="1" xfId="0" applyFont="1" applyFill="1" applyBorder="1" applyAlignment="1" applyProtection="1">
      <alignment vertical="center"/>
    </xf>
    <xf numFmtId="0" fontId="30" fillId="6" borderId="1" xfId="0" applyFont="1" applyFill="1" applyBorder="1" applyAlignment="1" applyProtection="1">
      <alignment vertical="center"/>
    </xf>
    <xf numFmtId="0" fontId="30" fillId="0" borderId="1" xfId="0" applyFont="1" applyBorder="1" applyAlignment="1">
      <alignment horizontal="left" vertical="center"/>
    </xf>
    <xf numFmtId="0" fontId="123" fillId="0" borderId="0" xfId="0" applyFont="1" applyFill="1" applyBorder="1" applyAlignment="1" applyProtection="1">
      <alignment horizontal="left" vertical="center"/>
    </xf>
    <xf numFmtId="0" fontId="74" fillId="6" borderId="1" xfId="0" applyFont="1" applyFill="1" applyBorder="1" applyAlignment="1" applyProtection="1">
      <alignment vertical="center"/>
    </xf>
    <xf numFmtId="0" fontId="30" fillId="43" borderId="1" xfId="0" applyFont="1" applyFill="1" applyBorder="1" applyAlignment="1" applyProtection="1">
      <alignment vertical="center" wrapText="1"/>
    </xf>
    <xf numFmtId="0" fontId="30" fillId="43" borderId="1" xfId="0" applyFont="1" applyFill="1" applyBorder="1" applyAlignment="1" applyProtection="1">
      <alignment horizontal="center" vertical="center" wrapText="1"/>
    </xf>
    <xf numFmtId="0" fontId="74" fillId="0" borderId="0" xfId="0" applyFont="1">
      <alignment vertical="center"/>
    </xf>
    <xf numFmtId="0" fontId="30" fillId="0" borderId="0" xfId="0" applyFont="1" applyProtection="1">
      <alignment vertical="center"/>
    </xf>
    <xf numFmtId="0" fontId="30" fillId="0" borderId="0" xfId="0" applyFont="1" applyAlignment="1">
      <alignment horizontal="right" vertical="center"/>
    </xf>
    <xf numFmtId="0" fontId="125" fillId="0" borderId="0" xfId="0" applyFont="1">
      <alignment vertical="center"/>
    </xf>
    <xf numFmtId="0" fontId="29" fillId="2" borderId="0" xfId="0" applyFont="1" applyFill="1" applyAlignment="1">
      <alignment horizontal="center"/>
    </xf>
    <xf numFmtId="0" fontId="30" fillId="7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/>
    </xf>
    <xf numFmtId="0" fontId="37" fillId="2" borderId="1" xfId="0" applyFont="1" applyFill="1" applyBorder="1" applyAlignment="1">
      <alignment horizontal="center"/>
    </xf>
    <xf numFmtId="0" fontId="126" fillId="9" borderId="1" xfId="0" applyFont="1" applyFill="1" applyBorder="1" applyAlignment="1">
      <alignment horizontal="left" vertical="center"/>
    </xf>
    <xf numFmtId="0" fontId="30" fillId="9" borderId="2" xfId="0" applyFont="1" applyFill="1" applyBorder="1" applyAlignment="1">
      <alignment horizontal="left" vertical="center"/>
    </xf>
    <xf numFmtId="197" fontId="30" fillId="67" borderId="1" xfId="0" applyNumberFormat="1" applyFont="1" applyFill="1" applyBorder="1" applyAlignment="1">
      <alignment horizontal="center" vertical="center"/>
    </xf>
    <xf numFmtId="0" fontId="0" fillId="0" borderId="3" xfId="0" applyBorder="1" applyAlignment="1">
      <alignment horizontal="left" vertical="center"/>
    </xf>
    <xf numFmtId="193" fontId="30" fillId="67" borderId="1" xfId="0" applyNumberFormat="1" applyFont="1" applyFill="1" applyBorder="1" applyAlignment="1">
      <alignment horizontal="center" vertical="center"/>
    </xf>
    <xf numFmtId="0" fontId="0" fillId="0" borderId="4" xfId="0" applyBorder="1" applyAlignment="1">
      <alignment horizontal="left" vertical="center"/>
    </xf>
    <xf numFmtId="193" fontId="30" fillId="5" borderId="1" xfId="0" applyNumberFormat="1" applyFont="1" applyFill="1" applyBorder="1" applyAlignment="1">
      <alignment horizontal="center" vertical="center"/>
    </xf>
    <xf numFmtId="194" fontId="0" fillId="11" borderId="1" xfId="0" applyNumberFormat="1" applyFill="1" applyBorder="1" applyAlignment="1">
      <alignment vertical="center"/>
    </xf>
    <xf numFmtId="0" fontId="29" fillId="0" borderId="1" xfId="0" applyFont="1" applyFill="1" applyBorder="1" applyAlignment="1">
      <alignment horizontal="right" vertical="center"/>
    </xf>
    <xf numFmtId="0" fontId="31" fillId="7" borderId="1" xfId="0" applyFont="1" applyFill="1" applyBorder="1" applyAlignment="1">
      <alignment horizontal="center" vertical="center"/>
    </xf>
    <xf numFmtId="0" fontId="0" fillId="2" borderId="0" xfId="0" applyFill="1" applyAlignment="1"/>
    <xf numFmtId="0" fontId="29" fillId="2" borderId="0" xfId="0" applyFont="1" applyFill="1" applyAlignment="1"/>
    <xf numFmtId="0" fontId="0" fillId="2" borderId="1" xfId="0" applyFill="1" applyBorder="1" applyAlignment="1"/>
    <xf numFmtId="0" fontId="37" fillId="2" borderId="1" xfId="0" applyFont="1" applyFill="1" applyBorder="1" applyAlignment="1"/>
    <xf numFmtId="0" fontId="0" fillId="4" borderId="10" xfId="0" applyFill="1" applyBorder="1" applyAlignment="1">
      <alignment vertical="center"/>
    </xf>
    <xf numFmtId="0" fontId="127" fillId="56" borderId="1" xfId="0" applyFont="1" applyFill="1" applyBorder="1" applyAlignment="1">
      <alignment horizontal="center" vertical="center" wrapText="1"/>
    </xf>
    <xf numFmtId="0" fontId="128" fillId="0" borderId="1" xfId="0" applyFont="1" applyBorder="1" applyAlignment="1">
      <alignment horizontal="center" vertical="center" wrapText="1"/>
    </xf>
    <xf numFmtId="0" fontId="30" fillId="24" borderId="124" xfId="0" applyFont="1" applyFill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30" fillId="4" borderId="4" xfId="0" applyFont="1" applyFill="1" applyBorder="1" applyAlignment="1" applyProtection="1">
      <alignment horizontal="center" vertical="center" wrapText="1"/>
      <protection locked="0"/>
    </xf>
    <xf numFmtId="0" fontId="30" fillId="56" borderId="124" xfId="0" applyFont="1" applyFill="1" applyBorder="1" applyAlignment="1">
      <alignment horizontal="center" vertical="center" wrapText="1"/>
    </xf>
    <xf numFmtId="0" fontId="30" fillId="22" borderId="1" xfId="0" applyFont="1" applyFill="1" applyBorder="1" applyAlignment="1">
      <alignment horizontal="left" vertical="center"/>
    </xf>
    <xf numFmtId="0" fontId="0" fillId="0" borderId="1" xfId="0" applyFill="1" applyBorder="1" applyProtection="1">
      <alignment vertical="center"/>
      <protection locked="0"/>
    </xf>
    <xf numFmtId="0" fontId="30" fillId="68" borderId="1" xfId="0" applyFont="1" applyFill="1" applyBorder="1" applyAlignment="1">
      <alignment horizontal="left" vertical="center"/>
    </xf>
    <xf numFmtId="0" fontId="30" fillId="0" borderId="1" xfId="0" applyFont="1" applyFill="1" applyBorder="1" applyAlignment="1" applyProtection="1">
      <alignment horizontal="center" vertical="center"/>
      <protection locked="0"/>
    </xf>
    <xf numFmtId="0" fontId="30" fillId="6" borderId="2" xfId="0" applyFont="1" applyFill="1" applyBorder="1" applyAlignment="1" applyProtection="1">
      <alignment horizontal="center" vertical="center" wrapText="1"/>
    </xf>
    <xf numFmtId="0" fontId="30" fillId="13" borderId="1" xfId="0" applyFont="1" applyFill="1" applyBorder="1" applyAlignment="1">
      <alignment horizontal="left" vertical="center"/>
    </xf>
    <xf numFmtId="0" fontId="0" fillId="6" borderId="4" xfId="0" applyFill="1" applyBorder="1" applyAlignment="1" applyProtection="1">
      <alignment horizontal="center" vertical="center" wrapText="1"/>
    </xf>
    <xf numFmtId="0" fontId="30" fillId="6" borderId="2" xfId="0" applyFont="1" applyFill="1" applyBorder="1" applyAlignment="1">
      <alignment horizontal="center" vertical="center"/>
    </xf>
    <xf numFmtId="0" fontId="30" fillId="6" borderId="3" xfId="0" applyFont="1" applyFill="1" applyBorder="1" applyAlignment="1">
      <alignment horizontal="center" vertical="center"/>
    </xf>
    <xf numFmtId="0" fontId="30" fillId="6" borderId="4" xfId="0" applyFont="1" applyFill="1" applyBorder="1" applyAlignment="1">
      <alignment horizontal="center" vertical="center"/>
    </xf>
    <xf numFmtId="0" fontId="30" fillId="6" borderId="1" xfId="0" applyNumberFormat="1" applyFont="1" applyFill="1" applyBorder="1" applyAlignment="1">
      <alignment horizontal="center" vertical="center"/>
    </xf>
    <xf numFmtId="0" fontId="0" fillId="6" borderId="1" xfId="0" applyNumberFormat="1" applyFill="1" applyBorder="1" applyAlignment="1">
      <alignment horizontal="center" vertical="center"/>
    </xf>
    <xf numFmtId="0" fontId="30" fillId="24" borderId="91" xfId="0" applyFont="1" applyFill="1" applyBorder="1" applyAlignment="1">
      <alignment horizontal="center" vertical="center"/>
    </xf>
    <xf numFmtId="0" fontId="69" fillId="24" borderId="1" xfId="0" applyFont="1" applyFill="1" applyBorder="1" applyAlignment="1">
      <alignment horizontal="center" vertical="center"/>
    </xf>
    <xf numFmtId="0" fontId="0" fillId="0" borderId="0" xfId="0" applyBorder="1">
      <alignment vertical="center"/>
    </xf>
    <xf numFmtId="0" fontId="30" fillId="2" borderId="1" xfId="0" applyFont="1" applyFill="1" applyBorder="1" applyAlignment="1">
      <alignment horizontal="center" vertical="center"/>
    </xf>
    <xf numFmtId="0" fontId="76" fillId="24" borderId="174" xfId="0" applyFont="1" applyFill="1" applyBorder="1" applyAlignment="1">
      <alignment horizontal="center" vertical="center" wrapText="1"/>
    </xf>
    <xf numFmtId="0" fontId="76" fillId="24" borderId="88" xfId="0" applyFont="1" applyFill="1" applyBorder="1" applyAlignment="1">
      <alignment horizontal="center" vertical="center" wrapText="1"/>
    </xf>
    <xf numFmtId="0" fontId="76" fillId="24" borderId="175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 wrapText="1"/>
    </xf>
    <xf numFmtId="0" fontId="0" fillId="24" borderId="81" xfId="0" applyFill="1" applyBorder="1">
      <alignment vertical="center"/>
    </xf>
    <xf numFmtId="0" fontId="30" fillId="24" borderId="82" xfId="0" applyFont="1" applyFill="1" applyBorder="1" applyAlignment="1">
      <alignment horizontal="center" vertical="center"/>
    </xf>
    <xf numFmtId="0" fontId="30" fillId="22" borderId="81" xfId="0" applyFont="1" applyFill="1" applyBorder="1" applyAlignment="1">
      <alignment horizontal="left" vertical="center" wrapText="1"/>
    </xf>
    <xf numFmtId="0" fontId="0" fillId="0" borderId="82" xfId="0" applyBorder="1" applyProtection="1">
      <alignment vertical="center"/>
      <protection locked="0"/>
    </xf>
    <xf numFmtId="0" fontId="30" fillId="22" borderId="81" xfId="0" applyFont="1" applyFill="1" applyBorder="1" applyAlignment="1">
      <alignment horizontal="left" vertical="center"/>
    </xf>
    <xf numFmtId="0" fontId="0" fillId="29" borderId="96" xfId="0" applyFill="1" applyBorder="1" applyAlignment="1" applyProtection="1">
      <alignment horizontal="left" vertical="center" wrapText="1"/>
      <protection locked="0"/>
    </xf>
    <xf numFmtId="0" fontId="0" fillId="0" borderId="94" xfId="0" applyBorder="1" applyAlignment="1">
      <alignment horizontal="left" vertical="center" wrapText="1"/>
    </xf>
    <xf numFmtId="0" fontId="0" fillId="0" borderId="95" xfId="0" applyBorder="1" applyAlignment="1">
      <alignment horizontal="left" vertical="center" wrapText="1"/>
    </xf>
    <xf numFmtId="0" fontId="30" fillId="11" borderId="1" xfId="0" applyFont="1" applyFill="1" applyBorder="1" applyAlignment="1" applyProtection="1">
      <alignment horizontal="center" vertical="center"/>
    </xf>
    <xf numFmtId="0" fontId="0" fillId="0" borderId="99" xfId="0" applyBorder="1">
      <alignment vertical="center"/>
    </xf>
    <xf numFmtId="0" fontId="0" fillId="0" borderId="107" xfId="0" applyBorder="1">
      <alignment vertical="center"/>
    </xf>
    <xf numFmtId="0" fontId="30" fillId="24" borderId="81" xfId="0" applyFont="1" applyFill="1" applyBorder="1" applyAlignment="1">
      <alignment horizontal="center" vertical="center"/>
    </xf>
    <xf numFmtId="0" fontId="30" fillId="6" borderId="10" xfId="0" applyNumberFormat="1" applyFont="1" applyFill="1" applyBorder="1" applyAlignment="1">
      <alignment horizontal="center" vertical="center"/>
    </xf>
    <xf numFmtId="0" fontId="30" fillId="6" borderId="11" xfId="0" applyNumberFormat="1" applyFont="1" applyFill="1" applyBorder="1" applyAlignment="1">
      <alignment horizontal="center" vertical="center"/>
    </xf>
    <xf numFmtId="0" fontId="30" fillId="6" borderId="134" xfId="0" applyNumberFormat="1" applyFont="1" applyFill="1" applyBorder="1" applyAlignment="1">
      <alignment horizontal="center" vertical="center"/>
    </xf>
    <xf numFmtId="189" fontId="30" fillId="6" borderId="10" xfId="0" applyNumberFormat="1" applyFont="1" applyFill="1" applyBorder="1" applyAlignment="1">
      <alignment horizontal="center" vertical="center"/>
    </xf>
    <xf numFmtId="189" fontId="30" fillId="6" borderId="11" xfId="0" applyNumberFormat="1" applyFont="1" applyFill="1" applyBorder="1" applyAlignment="1">
      <alignment horizontal="center" vertical="center"/>
    </xf>
    <xf numFmtId="189" fontId="30" fillId="6" borderId="134" xfId="0" applyNumberFormat="1" applyFont="1" applyFill="1" applyBorder="1" applyAlignment="1">
      <alignment horizontal="center" vertical="center"/>
    </xf>
    <xf numFmtId="0" fontId="30" fillId="24" borderId="83" xfId="0" applyFont="1" applyFill="1" applyBorder="1" applyAlignment="1">
      <alignment horizontal="center" vertical="center"/>
    </xf>
    <xf numFmtId="0" fontId="69" fillId="6" borderId="176" xfId="0" applyFont="1" applyFill="1" applyBorder="1" applyAlignment="1" applyProtection="1">
      <alignment horizontal="center" vertical="center"/>
    </xf>
    <xf numFmtId="0" fontId="69" fillId="6" borderId="132" xfId="0" applyFont="1" applyFill="1" applyBorder="1" applyAlignment="1" applyProtection="1">
      <alignment horizontal="center" vertical="center"/>
    </xf>
    <xf numFmtId="0" fontId="69" fillId="6" borderId="135" xfId="0" applyFont="1" applyFill="1" applyBorder="1" applyAlignment="1" applyProtection="1">
      <alignment horizontal="center" vertical="center"/>
    </xf>
    <xf numFmtId="0" fontId="30" fillId="24" borderId="174" xfId="0" applyFont="1" applyFill="1" applyBorder="1" applyAlignment="1">
      <alignment horizontal="center" vertical="center" wrapText="1"/>
    </xf>
    <xf numFmtId="0" fontId="30" fillId="24" borderId="88" xfId="0" applyFont="1" applyFill="1" applyBorder="1" applyAlignment="1">
      <alignment horizontal="center" vertical="center" wrapText="1"/>
    </xf>
    <xf numFmtId="0" fontId="30" fillId="24" borderId="175" xfId="0" applyFont="1" applyFill="1" applyBorder="1" applyAlignment="1">
      <alignment horizontal="center" vertical="center" wrapText="1"/>
    </xf>
    <xf numFmtId="0" fontId="129" fillId="0" borderId="1" xfId="0" applyFont="1" applyBorder="1" applyAlignment="1">
      <alignment vertical="center"/>
    </xf>
    <xf numFmtId="0" fontId="0" fillId="56" borderId="1" xfId="0" applyFill="1" applyBorder="1">
      <alignment vertical="center"/>
    </xf>
    <xf numFmtId="0" fontId="30" fillId="56" borderId="1" xfId="0" applyFont="1" applyFill="1" applyBorder="1" applyAlignment="1">
      <alignment horizontal="left" vertical="center"/>
    </xf>
    <xf numFmtId="0" fontId="30" fillId="14" borderId="2" xfId="0" applyFont="1" applyFill="1" applyBorder="1" applyAlignment="1">
      <alignment horizontal="center" vertical="center" wrapText="1"/>
    </xf>
    <xf numFmtId="1" fontId="30" fillId="6" borderId="1" xfId="0" applyNumberFormat="1" applyFont="1" applyFill="1" applyBorder="1" applyAlignment="1" applyProtection="1">
      <alignment horizontal="center" vertical="center"/>
    </xf>
    <xf numFmtId="193" fontId="30" fillId="56" borderId="1" xfId="0" applyNumberFormat="1" applyFont="1" applyFill="1" applyBorder="1" applyAlignment="1">
      <alignment horizontal="center" vertical="center"/>
    </xf>
    <xf numFmtId="0" fontId="30" fillId="14" borderId="3" xfId="0" applyFont="1" applyFill="1" applyBorder="1" applyAlignment="1">
      <alignment horizontal="center" vertical="center" wrapText="1"/>
    </xf>
    <xf numFmtId="0" fontId="30" fillId="4" borderId="2" xfId="0" applyFont="1" applyFill="1" applyBorder="1" applyAlignment="1" applyProtection="1">
      <alignment horizontal="center" vertical="center"/>
      <protection locked="0"/>
    </xf>
    <xf numFmtId="0" fontId="30" fillId="4" borderId="4" xfId="0" applyFont="1" applyFill="1" applyBorder="1" applyAlignment="1" applyProtection="1">
      <alignment horizontal="center" vertical="center"/>
      <protection locked="0"/>
    </xf>
    <xf numFmtId="0" fontId="30" fillId="56" borderId="2" xfId="0" applyFont="1" applyFill="1" applyBorder="1" applyAlignment="1">
      <alignment horizontal="center" vertical="center"/>
    </xf>
    <xf numFmtId="0" fontId="30" fillId="6" borderId="2" xfId="0" applyFont="1" applyFill="1" applyBorder="1" applyAlignment="1" applyProtection="1">
      <alignment horizontal="center" vertical="center"/>
    </xf>
    <xf numFmtId="176" fontId="30" fillId="4" borderId="1" xfId="0" applyNumberFormat="1" applyFont="1" applyFill="1" applyBorder="1" applyAlignment="1" applyProtection="1">
      <alignment horizontal="center" vertical="center"/>
    </xf>
    <xf numFmtId="0" fontId="30" fillId="14" borderId="4" xfId="0" applyFont="1" applyFill="1" applyBorder="1" applyAlignment="1">
      <alignment horizontal="center" vertical="center" wrapText="1"/>
    </xf>
    <xf numFmtId="0" fontId="30" fillId="56" borderId="4" xfId="0" applyFont="1" applyFill="1" applyBorder="1" applyAlignment="1">
      <alignment horizontal="center" vertical="center"/>
    </xf>
    <xf numFmtId="0" fontId="30" fillId="6" borderId="4" xfId="0" applyFont="1" applyFill="1" applyBorder="1" applyAlignment="1" applyProtection="1">
      <alignment horizontal="center" vertical="center"/>
    </xf>
    <xf numFmtId="0" fontId="0" fillId="14" borderId="3" xfId="0" applyFill="1" applyBorder="1" applyAlignment="1">
      <alignment horizontal="center" vertical="center" wrapText="1"/>
    </xf>
    <xf numFmtId="0" fontId="0" fillId="0" borderId="4" xfId="0" applyBorder="1" applyAlignment="1">
      <alignment horizontal="center" vertical="center"/>
    </xf>
    <xf numFmtId="181" fontId="30" fillId="56" borderId="1" xfId="0" applyNumberFormat="1" applyFont="1" applyFill="1" applyBorder="1" applyAlignment="1">
      <alignment horizontal="center" vertical="center"/>
    </xf>
    <xf numFmtId="0" fontId="74" fillId="56" borderId="1" xfId="0" applyFont="1" applyFill="1" applyBorder="1" applyAlignment="1">
      <alignment horizontal="left" vertical="center"/>
    </xf>
    <xf numFmtId="181" fontId="30" fillId="4" borderId="1" xfId="0" applyNumberFormat="1" applyFont="1" applyFill="1" applyBorder="1" applyAlignment="1" applyProtection="1">
      <alignment horizontal="center" vertical="center"/>
      <protection locked="0"/>
    </xf>
    <xf numFmtId="181" fontId="30" fillId="6" borderId="1" xfId="0" applyNumberFormat="1" applyFont="1" applyFill="1" applyBorder="1" applyAlignment="1">
      <alignment horizontal="center" vertical="center"/>
    </xf>
    <xf numFmtId="181" fontId="0" fillId="6" borderId="1" xfId="0" applyNumberFormat="1" applyFill="1" applyBorder="1" applyAlignment="1">
      <alignment horizontal="center" vertical="center"/>
    </xf>
    <xf numFmtId="181" fontId="0" fillId="6" borderId="1" xfId="0" applyNumberFormat="1" applyFill="1" applyBorder="1" applyAlignment="1">
      <alignment vertical="center"/>
    </xf>
    <xf numFmtId="0" fontId="30" fillId="4" borderId="10" xfId="0" applyFont="1" applyFill="1" applyBorder="1" applyAlignment="1" applyProtection="1">
      <alignment horizontal="center" vertical="center"/>
      <protection locked="0"/>
    </xf>
    <xf numFmtId="0" fontId="30" fillId="4" borderId="11" xfId="0" applyFont="1" applyFill="1" applyBorder="1" applyAlignment="1" applyProtection="1">
      <alignment horizontal="center" vertical="center"/>
      <protection locked="0"/>
    </xf>
    <xf numFmtId="0" fontId="30" fillId="4" borderId="12" xfId="0" applyFont="1" applyFill="1" applyBorder="1" applyAlignment="1" applyProtection="1">
      <alignment horizontal="center" vertical="center"/>
      <protection locked="0"/>
    </xf>
    <xf numFmtId="176" fontId="30" fillId="6" borderId="1" xfId="0" applyNumberFormat="1" applyFont="1" applyFill="1" applyBorder="1" applyAlignment="1">
      <alignment horizontal="center" vertical="center"/>
    </xf>
    <xf numFmtId="176" fontId="0" fillId="6" borderId="1" xfId="0" applyNumberFormat="1" applyFill="1" applyBorder="1" applyAlignment="1">
      <alignment horizontal="center" vertical="center"/>
    </xf>
    <xf numFmtId="176" fontId="0" fillId="6" borderId="1" xfId="0" applyNumberFormat="1" applyFill="1" applyBorder="1" applyAlignment="1">
      <alignment vertical="center"/>
    </xf>
    <xf numFmtId="2" fontId="30" fillId="24" borderId="1" xfId="0" applyNumberFormat="1" applyFont="1" applyFill="1" applyBorder="1" applyAlignment="1">
      <alignment horizontal="center" vertical="center" wrapText="1"/>
    </xf>
    <xf numFmtId="0" fontId="0" fillId="6" borderId="1" xfId="0" applyFill="1" applyBorder="1" applyAlignment="1" applyProtection="1">
      <alignment horizontal="center" vertical="center"/>
      <protection locked="0"/>
    </xf>
    <xf numFmtId="0" fontId="0" fillId="6" borderId="1" xfId="0" applyFill="1" applyBorder="1" applyAlignment="1" applyProtection="1">
      <alignment vertical="center"/>
      <protection locked="0"/>
    </xf>
    <xf numFmtId="0" fontId="74" fillId="24" borderId="10" xfId="0" applyFont="1" applyFill="1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74" fillId="13" borderId="1" xfId="0" applyFont="1" applyFill="1" applyBorder="1" applyAlignment="1">
      <alignment horizontal="center" vertical="center"/>
    </xf>
    <xf numFmtId="0" fontId="30" fillId="23" borderId="2" xfId="0" applyFont="1" applyFill="1" applyBorder="1" applyAlignment="1">
      <alignment horizontal="center" vertical="center"/>
    </xf>
    <xf numFmtId="0" fontId="93" fillId="0" borderId="1" xfId="0" applyFont="1" applyBorder="1" applyAlignment="1">
      <alignment horizontal="center" vertical="center" readingOrder="1"/>
    </xf>
    <xf numFmtId="9" fontId="93" fillId="0" borderId="1" xfId="0" applyNumberFormat="1" applyFont="1" applyBorder="1" applyAlignment="1">
      <alignment horizontal="center" vertical="center" readingOrder="1"/>
    </xf>
    <xf numFmtId="0" fontId="74" fillId="24" borderId="1" xfId="0" applyFont="1" applyFill="1" applyBorder="1" applyAlignment="1">
      <alignment horizontal="center" vertical="center"/>
    </xf>
    <xf numFmtId="0" fontId="30" fillId="23" borderId="3" xfId="0" applyFont="1" applyFill="1" applyBorder="1" applyAlignment="1">
      <alignment horizontal="center" vertical="center"/>
    </xf>
    <xf numFmtId="0" fontId="31" fillId="24" borderId="1" xfId="0" applyFont="1" applyFill="1" applyBorder="1" applyAlignment="1">
      <alignment horizontal="left" vertical="center"/>
    </xf>
    <xf numFmtId="0" fontId="130" fillId="0" borderId="1" xfId="0" applyFont="1" applyBorder="1" applyAlignment="1">
      <alignment horizontal="center" vertical="center" readingOrder="1"/>
    </xf>
    <xf numFmtId="9" fontId="130" fillId="0" borderId="1" xfId="0" applyNumberFormat="1" applyFont="1" applyBorder="1" applyAlignment="1">
      <alignment horizontal="center" vertical="center" readingOrder="1"/>
    </xf>
    <xf numFmtId="0" fontId="30" fillId="24" borderId="2" xfId="0" applyFont="1" applyFill="1" applyBorder="1" applyAlignment="1">
      <alignment horizontal="center" vertical="center"/>
    </xf>
    <xf numFmtId="0" fontId="30" fillId="23" borderId="4" xfId="0" applyFont="1" applyFill="1" applyBorder="1" applyAlignment="1">
      <alignment horizontal="center" vertical="center"/>
    </xf>
    <xf numFmtId="0" fontId="30" fillId="23" borderId="1" xfId="0" applyFont="1" applyFill="1" applyBorder="1" applyAlignment="1">
      <alignment horizontal="center" vertical="center"/>
    </xf>
    <xf numFmtId="0" fontId="30" fillId="14" borderId="1" xfId="0" applyFont="1" applyFill="1" applyBorder="1" applyAlignment="1">
      <alignment horizontal="center" vertical="center"/>
    </xf>
    <xf numFmtId="0" fontId="74" fillId="68" borderId="1" xfId="0" applyFont="1" applyFill="1" applyBorder="1" applyAlignment="1">
      <alignment horizontal="center" vertical="center"/>
    </xf>
    <xf numFmtId="0" fontId="30" fillId="14" borderId="1" xfId="0" applyNumberFormat="1" applyFont="1" applyFill="1" applyBorder="1" applyAlignment="1">
      <alignment horizontal="center" vertical="center"/>
    </xf>
    <xf numFmtId="0" fontId="93" fillId="0" borderId="1" xfId="0" applyFont="1" applyFill="1" applyBorder="1" applyAlignment="1">
      <alignment horizontal="center" vertical="center" readingOrder="1"/>
    </xf>
    <xf numFmtId="0" fontId="74" fillId="68" borderId="4" xfId="0" applyFont="1" applyFill="1" applyBorder="1" applyAlignment="1">
      <alignment horizontal="center" vertical="center"/>
    </xf>
    <xf numFmtId="0" fontId="30" fillId="23" borderId="1" xfId="0" applyFont="1" applyFill="1" applyBorder="1" applyAlignment="1">
      <alignment horizontal="center" vertical="center" wrapText="1"/>
    </xf>
    <xf numFmtId="0" fontId="31" fillId="24" borderId="3" xfId="0" applyFont="1" applyFill="1" applyBorder="1" applyAlignment="1">
      <alignment horizontal="center" vertical="center"/>
    </xf>
    <xf numFmtId="0" fontId="130" fillId="0" borderId="3" xfId="0" applyFont="1" applyFill="1" applyBorder="1" applyAlignment="1">
      <alignment horizontal="center" vertical="center" readingOrder="1"/>
    </xf>
    <xf numFmtId="0" fontId="130" fillId="0" borderId="1" xfId="0" applyFont="1" applyFill="1" applyBorder="1" applyAlignment="1">
      <alignment horizontal="center" vertical="center" readingOrder="1"/>
    </xf>
    <xf numFmtId="0" fontId="41" fillId="0" borderId="1" xfId="0" applyFont="1" applyBorder="1" applyAlignment="1">
      <alignment horizontal="center" vertical="center" readingOrder="1"/>
    </xf>
    <xf numFmtId="2" fontId="41" fillId="0" borderId="1" xfId="0" applyNumberFormat="1" applyFont="1" applyBorder="1" applyAlignment="1">
      <alignment horizontal="center" vertical="center" readingOrder="1"/>
    </xf>
    <xf numFmtId="0" fontId="29" fillId="0" borderId="1" xfId="0" applyFont="1" applyBorder="1" applyAlignment="1">
      <alignment horizontal="center" vertical="center"/>
    </xf>
    <xf numFmtId="0" fontId="29" fillId="0" borderId="10" xfId="0" applyFont="1" applyBorder="1" applyAlignment="1">
      <alignment horizontal="center" vertical="center"/>
    </xf>
    <xf numFmtId="0" fontId="29" fillId="0" borderId="11" xfId="0" applyFont="1" applyBorder="1" applyAlignment="1">
      <alignment horizontal="center" vertical="center"/>
    </xf>
    <xf numFmtId="0" fontId="29" fillId="67" borderId="1" xfId="0" applyFont="1" applyFill="1" applyBorder="1" applyAlignment="1">
      <alignment horizontal="center" vertical="center"/>
    </xf>
    <xf numFmtId="0" fontId="111" fillId="9" borderId="1" xfId="182" applyFill="1" applyBorder="1"/>
    <xf numFmtId="0" fontId="29" fillId="0" borderId="12" xfId="0" applyFont="1" applyBorder="1" applyAlignment="1">
      <alignment horizontal="center" vertical="center"/>
    </xf>
    <xf numFmtId="0" fontId="111" fillId="0" borderId="1" xfId="182" applyBorder="1"/>
    <xf numFmtId="0" fontId="111" fillId="2" borderId="1" xfId="182" applyFill="1" applyBorder="1"/>
    <xf numFmtId="0" fontId="111" fillId="4" borderId="1" xfId="182" applyFill="1" applyBorder="1"/>
    <xf numFmtId="0" fontId="131" fillId="4" borderId="1" xfId="182" applyFont="1" applyFill="1" applyBorder="1"/>
    <xf numFmtId="184" fontId="0" fillId="0" borderId="0" xfId="0" applyNumberFormat="1">
      <alignment vertical="center"/>
    </xf>
    <xf numFmtId="0" fontId="0" fillId="24" borderId="1" xfId="0" applyFill="1" applyBorder="1" applyAlignment="1">
      <alignment horizontal="center" vertical="center"/>
    </xf>
    <xf numFmtId="184" fontId="74" fillId="2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 applyProtection="1">
      <alignment horizontal="center" vertical="center"/>
      <protection locked="0"/>
    </xf>
    <xf numFmtId="184" fontId="0" fillId="4" borderId="1" xfId="0" applyNumberFormat="1" applyFill="1" applyBorder="1" applyAlignment="1" applyProtection="1">
      <alignment horizontal="center" vertical="center"/>
      <protection locked="0"/>
    </xf>
    <xf numFmtId="184" fontId="13" fillId="4" borderId="1" xfId="0" applyNumberFormat="1" applyFont="1" applyFill="1" applyBorder="1" applyAlignment="1">
      <alignment horizontal="center" vertical="center"/>
    </xf>
    <xf numFmtId="0" fontId="29" fillId="2" borderId="1" xfId="0" applyFont="1" applyFill="1" applyBorder="1" applyAlignment="1">
      <alignment horizontal="left" vertical="center"/>
    </xf>
    <xf numFmtId="0" fontId="0" fillId="2" borderId="1" xfId="0" applyFill="1" applyBorder="1" applyAlignment="1">
      <alignment horizontal="left" vertical="center"/>
    </xf>
    <xf numFmtId="0" fontId="30" fillId="24" borderId="110" xfId="0" applyFont="1" applyFill="1" applyBorder="1" applyAlignment="1">
      <alignment horizontal="center" vertical="center"/>
    </xf>
    <xf numFmtId="0" fontId="0" fillId="0" borderId="90" xfId="0" applyBorder="1" applyAlignment="1">
      <alignment horizontal="center" vertical="center"/>
    </xf>
    <xf numFmtId="184" fontId="74" fillId="24" borderId="10" xfId="0" applyNumberFormat="1" applyFont="1" applyFill="1" applyBorder="1" applyAlignment="1">
      <alignment horizontal="center" vertical="center"/>
    </xf>
    <xf numFmtId="184" fontId="30" fillId="24" borderId="1" xfId="0" applyNumberFormat="1" applyFont="1" applyFill="1" applyBorder="1" applyAlignment="1" applyProtection="1">
      <alignment horizontal="center" vertical="center"/>
    </xf>
    <xf numFmtId="0" fontId="0" fillId="0" borderId="12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184" fontId="30" fillId="4" borderId="1" xfId="0" applyNumberFormat="1" applyFont="1" applyFill="1" applyBorder="1" applyAlignment="1" applyProtection="1">
      <alignment horizontal="center" vertical="center"/>
      <protection locked="0"/>
    </xf>
    <xf numFmtId="0" fontId="30" fillId="0" borderId="1" xfId="0" applyFont="1" applyFill="1" applyBorder="1" applyAlignment="1" applyProtection="1">
      <alignment horizontal="left" vertical="center"/>
      <protection locked="0"/>
    </xf>
    <xf numFmtId="0" fontId="30" fillId="22" borderId="10" xfId="0" applyFont="1" applyFill="1" applyBorder="1" applyAlignment="1">
      <alignment horizontal="left" vertical="center"/>
    </xf>
    <xf numFmtId="0" fontId="0" fillId="0" borderId="12" xfId="0" applyBorder="1" applyAlignment="1">
      <alignment horizontal="left" vertical="center"/>
    </xf>
    <xf numFmtId="10" fontId="30" fillId="6" borderId="1" xfId="0" applyNumberFormat="1" applyFont="1" applyFill="1" applyBorder="1" applyAlignment="1" applyProtection="1">
      <alignment horizontal="center" vertical="center"/>
    </xf>
    <xf numFmtId="10" fontId="30" fillId="4" borderId="1" xfId="0" applyNumberFormat="1" applyFont="1" applyFill="1" applyBorder="1" applyAlignment="1" applyProtection="1">
      <alignment horizontal="center" vertical="center"/>
      <protection locked="0"/>
    </xf>
    <xf numFmtId="0" fontId="74" fillId="0" borderId="1" xfId="0" applyFont="1" applyFill="1" applyBorder="1" applyAlignment="1" applyProtection="1">
      <alignment horizontal="left" vertical="center"/>
      <protection locked="0"/>
    </xf>
    <xf numFmtId="0" fontId="74" fillId="22" borderId="10" xfId="0" applyFont="1" applyFill="1" applyBorder="1" applyAlignment="1">
      <alignment horizontal="center" vertical="center"/>
    </xf>
    <xf numFmtId="0" fontId="30" fillId="22" borderId="12" xfId="0" applyFont="1" applyFill="1" applyBorder="1" applyAlignment="1">
      <alignment horizontal="center" vertical="center"/>
    </xf>
    <xf numFmtId="0" fontId="30" fillId="0" borderId="10" xfId="0" applyFont="1" applyFill="1" applyBorder="1" applyAlignment="1" applyProtection="1">
      <alignment horizontal="center" vertical="center"/>
      <protection locked="0"/>
    </xf>
    <xf numFmtId="0" fontId="30" fillId="0" borderId="12" xfId="0" applyFont="1" applyFill="1" applyBorder="1" applyAlignment="1" applyProtection="1">
      <alignment horizontal="center" vertical="center"/>
      <protection locked="0"/>
    </xf>
    <xf numFmtId="0" fontId="132" fillId="22" borderId="10" xfId="0" applyFont="1" applyFill="1" applyBorder="1" applyAlignment="1">
      <alignment horizontal="left" vertical="center"/>
    </xf>
    <xf numFmtId="0" fontId="132" fillId="22" borderId="12" xfId="0" applyFont="1" applyFill="1" applyBorder="1" applyAlignment="1">
      <alignment horizontal="left" vertical="center"/>
    </xf>
    <xf numFmtId="184" fontId="30" fillId="6" borderId="1" xfId="0" applyNumberFormat="1" applyFont="1" applyFill="1" applyBorder="1" applyAlignment="1" applyProtection="1">
      <alignment horizontal="center" vertical="center" wrapText="1"/>
    </xf>
    <xf numFmtId="192" fontId="30" fillId="4" borderId="1" xfId="0" applyNumberFormat="1" applyFont="1" applyFill="1" applyBorder="1" applyAlignment="1" applyProtection="1">
      <alignment horizontal="center" vertical="center" wrapText="1"/>
      <protection locked="0"/>
    </xf>
    <xf numFmtId="184" fontId="30" fillId="6" borderId="1" xfId="0" applyNumberFormat="1" applyFont="1" applyFill="1" applyBorder="1" applyAlignment="1" applyProtection="1">
      <alignment horizontal="center" vertical="center"/>
    </xf>
    <xf numFmtId="184" fontId="30" fillId="4" borderId="1" xfId="0" applyNumberFormat="1" applyFont="1" applyFill="1" applyBorder="1" applyAlignment="1" applyProtection="1">
      <alignment horizontal="center" vertical="center" wrapText="1"/>
      <protection locked="0"/>
    </xf>
    <xf numFmtId="192" fontId="30" fillId="6" borderId="1" xfId="0" applyNumberFormat="1" applyFont="1" applyFill="1" applyBorder="1" applyAlignment="1" applyProtection="1">
      <alignment horizontal="center" vertical="center"/>
    </xf>
    <xf numFmtId="0" fontId="30" fillId="0" borderId="10" xfId="0" applyFont="1" applyFill="1" applyBorder="1" applyAlignment="1" applyProtection="1">
      <alignment horizontal="center" vertical="center" wrapText="1"/>
      <protection locked="0"/>
    </xf>
    <xf numFmtId="0" fontId="30" fillId="0" borderId="12" xfId="0" applyFont="1" applyFill="1" applyBorder="1" applyAlignment="1" applyProtection="1">
      <alignment horizontal="center" vertical="center" wrapText="1"/>
      <protection locked="0"/>
    </xf>
    <xf numFmtId="0" fontId="30" fillId="0" borderId="10" xfId="0" applyFont="1" applyFill="1" applyBorder="1" applyAlignment="1" applyProtection="1">
      <alignment horizontal="left" vertical="center" wrapText="1"/>
      <protection locked="0"/>
    </xf>
    <xf numFmtId="0" fontId="30" fillId="0" borderId="12" xfId="0" applyFont="1" applyFill="1" applyBorder="1" applyAlignment="1" applyProtection="1">
      <alignment horizontal="left" vertical="center" wrapText="1"/>
      <protection locked="0"/>
    </xf>
    <xf numFmtId="0" fontId="30" fillId="0" borderId="1" xfId="0" applyFont="1" applyFill="1" applyBorder="1" applyAlignment="1" applyProtection="1">
      <alignment vertical="center"/>
      <protection locked="0"/>
    </xf>
    <xf numFmtId="193" fontId="30" fillId="6" borderId="1" xfId="0" applyNumberFormat="1" applyFont="1" applyFill="1" applyBorder="1" applyAlignment="1" applyProtection="1">
      <alignment horizontal="center" vertical="center"/>
    </xf>
    <xf numFmtId="0" fontId="30" fillId="0" borderId="110" xfId="0" applyFont="1" applyFill="1" applyBorder="1" applyAlignment="1" applyProtection="1">
      <alignment horizontal="left" vertical="center"/>
      <protection locked="0"/>
    </xf>
    <xf numFmtId="0" fontId="30" fillId="0" borderId="90" xfId="0" applyFont="1" applyFill="1" applyBorder="1" applyAlignment="1" applyProtection="1">
      <alignment horizontal="left" vertical="center"/>
      <protection locked="0"/>
    </xf>
    <xf numFmtId="0" fontId="30" fillId="0" borderId="124" xfId="0" applyFont="1" applyFill="1" applyBorder="1" applyAlignment="1" applyProtection="1">
      <alignment horizontal="left" vertical="center"/>
      <protection locked="0"/>
    </xf>
    <xf numFmtId="0" fontId="30" fillId="0" borderId="6" xfId="0" applyFont="1" applyFill="1" applyBorder="1" applyAlignment="1" applyProtection="1">
      <alignment horizontal="left" vertical="center"/>
      <protection locked="0"/>
    </xf>
    <xf numFmtId="0" fontId="30" fillId="22" borderId="10" xfId="0" applyFont="1" applyFill="1" applyBorder="1" applyAlignment="1">
      <alignment horizontal="right" vertical="center"/>
    </xf>
    <xf numFmtId="0" fontId="0" fillId="0" borderId="12" xfId="0" applyBorder="1" applyAlignment="1">
      <alignment horizontal="right" vertical="center"/>
    </xf>
    <xf numFmtId="189" fontId="30" fillId="6" borderId="1" xfId="0" applyNumberFormat="1" applyFont="1" applyFill="1" applyBorder="1" applyAlignment="1" applyProtection="1">
      <alignment horizontal="center" vertical="center"/>
    </xf>
    <xf numFmtId="189" fontId="30" fillId="4" borderId="1" xfId="0" applyNumberFormat="1" applyFont="1" applyFill="1" applyBorder="1" applyAlignment="1" applyProtection="1">
      <alignment horizontal="center" vertical="center"/>
      <protection locked="0"/>
    </xf>
    <xf numFmtId="0" fontId="29" fillId="0" borderId="1" xfId="0" applyFont="1" applyBorder="1" applyAlignment="1" applyProtection="1">
      <alignment horizontal="left" vertical="center"/>
      <protection locked="0"/>
    </xf>
    <xf numFmtId="0" fontId="0" fillId="0" borderId="1" xfId="0" applyBorder="1" applyAlignment="1" applyProtection="1">
      <alignment horizontal="left" vertical="center"/>
      <protection locked="0"/>
    </xf>
    <xf numFmtId="190" fontId="30" fillId="6" borderId="1" xfId="0" applyNumberFormat="1" applyFont="1" applyFill="1" applyBorder="1" applyAlignment="1" applyProtection="1">
      <alignment horizontal="center" vertical="center"/>
    </xf>
    <xf numFmtId="2" fontId="0" fillId="13" borderId="0" xfId="0" applyNumberFormat="1" applyFill="1" applyAlignment="1">
      <alignment horizontal="left" vertical="center"/>
    </xf>
    <xf numFmtId="0" fontId="0" fillId="0" borderId="10" xfId="0" applyBorder="1" applyAlignment="1" applyProtection="1">
      <alignment vertical="center"/>
      <protection locked="0"/>
    </xf>
    <xf numFmtId="10" fontId="69" fillId="7" borderId="1" xfId="0" applyNumberFormat="1" applyFont="1" applyFill="1" applyBorder="1" applyAlignment="1" applyProtection="1">
      <alignment horizontal="center" vertical="center" wrapText="1"/>
    </xf>
    <xf numFmtId="189" fontId="30" fillId="6" borderId="126" xfId="0" applyNumberFormat="1" applyFont="1" applyFill="1" applyBorder="1" applyAlignment="1" applyProtection="1">
      <alignment horizontal="center" vertical="center"/>
    </xf>
    <xf numFmtId="184" fontId="30" fillId="6" borderId="2" xfId="0" applyNumberFormat="1" applyFont="1" applyFill="1" applyBorder="1" applyAlignment="1" applyProtection="1">
      <alignment horizontal="center" vertical="center"/>
    </xf>
    <xf numFmtId="185" fontId="69" fillId="7" borderId="1" xfId="0" applyNumberFormat="1" applyFont="1" applyFill="1" applyBorder="1" applyAlignment="1" applyProtection="1">
      <alignment horizontal="left" vertical="center" wrapText="1"/>
    </xf>
    <xf numFmtId="9" fontId="69" fillId="7" borderId="1" xfId="0" applyNumberFormat="1" applyFont="1" applyFill="1" applyBorder="1" applyAlignment="1" applyProtection="1">
      <alignment horizontal="left" vertical="center" wrapText="1"/>
    </xf>
    <xf numFmtId="0" fontId="0" fillId="0" borderId="126" xfId="0" applyBorder="1" applyAlignment="1">
      <alignment vertical="center"/>
    </xf>
    <xf numFmtId="195" fontId="30" fillId="6" borderId="2" xfId="0" applyNumberFormat="1" applyFont="1" applyFill="1" applyBorder="1" applyAlignment="1" applyProtection="1">
      <alignment horizontal="center" vertical="center"/>
    </xf>
    <xf numFmtId="0" fontId="0" fillId="0" borderId="1" xfId="0" applyBorder="1" applyAlignment="1" applyProtection="1">
      <alignment vertical="center"/>
      <protection locked="0"/>
    </xf>
    <xf numFmtId="0" fontId="30" fillId="22" borderId="2" xfId="0" applyFont="1" applyFill="1" applyBorder="1" applyAlignment="1">
      <alignment horizontal="left" vertical="center"/>
    </xf>
    <xf numFmtId="188" fontId="30" fillId="6" borderId="1" xfId="0" applyNumberFormat="1" applyFont="1" applyFill="1" applyBorder="1" applyAlignment="1" applyProtection="1">
      <alignment horizontal="center" vertical="center"/>
    </xf>
    <xf numFmtId="0" fontId="30" fillId="22" borderId="3" xfId="0" applyFont="1" applyFill="1" applyBorder="1" applyAlignment="1">
      <alignment horizontal="left" vertical="center"/>
    </xf>
    <xf numFmtId="184" fontId="30" fillId="6" borderId="2" xfId="0" applyNumberFormat="1" applyFont="1" applyFill="1" applyBorder="1" applyAlignment="1" applyProtection="1">
      <alignment horizontal="center" vertical="center"/>
      <protection locked="0"/>
    </xf>
    <xf numFmtId="188" fontId="74" fillId="6" borderId="1" xfId="0" applyNumberFormat="1" applyFont="1" applyFill="1" applyBorder="1" applyAlignment="1" applyProtection="1">
      <alignment horizontal="center" vertical="center"/>
    </xf>
    <xf numFmtId="184" fontId="30" fillId="4" borderId="2" xfId="0" applyNumberFormat="1" applyFont="1" applyFill="1" applyBorder="1" applyAlignment="1" applyProtection="1">
      <alignment horizontal="center" vertical="center" wrapText="1"/>
      <protection locked="0"/>
    </xf>
    <xf numFmtId="193" fontId="30" fillId="6" borderId="2" xfId="0" applyNumberFormat="1" applyFont="1" applyFill="1" applyBorder="1" applyAlignment="1" applyProtection="1">
      <alignment horizontal="center" vertical="center"/>
    </xf>
    <xf numFmtId="184" fontId="0" fillId="0" borderId="4" xfId="0" applyNumberFormat="1" applyBorder="1" applyAlignment="1" applyProtection="1">
      <alignment horizontal="center" vertical="center"/>
    </xf>
    <xf numFmtId="184" fontId="0" fillId="0" borderId="4" xfId="0" applyNumberFormat="1" applyBorder="1" applyAlignment="1" applyProtection="1">
      <alignment horizontal="center" vertical="center"/>
      <protection locked="0"/>
    </xf>
    <xf numFmtId="188" fontId="0" fillId="6" borderId="1" xfId="0" applyNumberFormat="1" applyFill="1" applyBorder="1" applyAlignment="1" applyProtection="1">
      <alignment horizontal="center" vertical="center"/>
    </xf>
    <xf numFmtId="193" fontId="30" fillId="6" borderId="4" xfId="0" applyNumberFormat="1" applyFont="1" applyFill="1" applyBorder="1" applyAlignment="1" applyProtection="1">
      <alignment horizontal="center" vertical="center"/>
    </xf>
    <xf numFmtId="188" fontId="30" fillId="2" borderId="1" xfId="0" applyNumberFormat="1" applyFont="1" applyFill="1" applyBorder="1" applyAlignment="1" applyProtection="1">
      <alignment vertical="center"/>
    </xf>
    <xf numFmtId="0" fontId="30" fillId="4" borderId="1" xfId="0" applyFont="1" applyFill="1" applyBorder="1" applyAlignment="1" applyProtection="1">
      <alignment horizontal="left" vertical="center"/>
      <protection locked="0"/>
    </xf>
    <xf numFmtId="0" fontId="30" fillId="22" borderId="12" xfId="0" applyFont="1" applyFill="1" applyBorder="1" applyAlignment="1">
      <alignment horizontal="left" vertical="center"/>
    </xf>
    <xf numFmtId="0" fontId="30" fillId="2" borderId="12" xfId="0" applyFont="1" applyFill="1" applyBorder="1" applyAlignment="1" applyProtection="1">
      <alignment vertical="center"/>
      <protection locked="0"/>
    </xf>
    <xf numFmtId="195" fontId="30" fillId="6" borderId="1" xfId="0" applyNumberFormat="1" applyFont="1" applyFill="1" applyBorder="1" applyAlignment="1" applyProtection="1">
      <alignment horizontal="center" vertical="center"/>
    </xf>
    <xf numFmtId="195" fontId="30" fillId="4" borderId="1" xfId="0" applyNumberFormat="1" applyFont="1" applyFill="1" applyBorder="1" applyAlignment="1" applyProtection="1">
      <alignment horizontal="center" vertical="center"/>
    </xf>
    <xf numFmtId="184" fontId="30" fillId="6" borderId="110" xfId="0" applyNumberFormat="1" applyFont="1" applyFill="1" applyBorder="1" applyAlignment="1" applyProtection="1">
      <alignment horizontal="center" vertical="center"/>
    </xf>
    <xf numFmtId="0" fontId="30" fillId="22" borderId="10" xfId="0" applyFont="1" applyFill="1" applyBorder="1" applyAlignment="1">
      <alignment horizontal="center" vertical="center"/>
    </xf>
    <xf numFmtId="0" fontId="0" fillId="0" borderId="10" xfId="0" applyBorder="1" applyAlignment="1" applyProtection="1">
      <alignment horizontal="center" vertical="center"/>
      <protection locked="0"/>
    </xf>
    <xf numFmtId="0" fontId="0" fillId="0" borderId="12" xfId="0" applyBorder="1" applyAlignment="1" applyProtection="1">
      <alignment horizontal="center" vertical="center"/>
      <protection locked="0"/>
    </xf>
    <xf numFmtId="192" fontId="76" fillId="13" borderId="1" xfId="0" applyNumberFormat="1" applyFont="1" applyFill="1" applyBorder="1" applyAlignment="1" applyProtection="1">
      <alignment horizontal="center" vertical="center"/>
    </xf>
    <xf numFmtId="0" fontId="74" fillId="0" borderId="1" xfId="0" applyFont="1" applyFill="1" applyBorder="1" applyAlignment="1" applyProtection="1">
      <alignment horizontal="left" vertical="center" wrapText="1"/>
      <protection locked="0"/>
    </xf>
    <xf numFmtId="0" fontId="74" fillId="0" borderId="1" xfId="16" applyNumberFormat="1" applyFont="1" applyFill="1" applyBorder="1" applyAlignment="1" applyProtection="1">
      <alignment horizontal="left" vertical="center" wrapText="1"/>
      <protection locked="0"/>
    </xf>
    <xf numFmtId="9" fontId="30" fillId="6" borderId="1" xfId="16" applyFont="1" applyFill="1" applyBorder="1" applyAlignment="1" applyProtection="1">
      <alignment horizontal="center" vertical="center"/>
    </xf>
    <xf numFmtId="192" fontId="76" fillId="6" borderId="1" xfId="0" applyNumberFormat="1" applyFont="1" applyFill="1" applyBorder="1" applyAlignment="1" applyProtection="1">
      <alignment horizontal="center" vertical="center"/>
    </xf>
    <xf numFmtId="0" fontId="30" fillId="13" borderId="10" xfId="0" applyFont="1" applyFill="1" applyBorder="1" applyAlignment="1">
      <alignment horizontal="right" vertical="center"/>
    </xf>
    <xf numFmtId="0" fontId="30" fillId="13" borderId="12" xfId="0" applyFont="1" applyFill="1" applyBorder="1" applyAlignment="1">
      <alignment horizontal="right" vertical="center"/>
    </xf>
    <xf numFmtId="189" fontId="30" fillId="69" borderId="1" xfId="0" applyNumberFormat="1" applyFont="1" applyFill="1" applyBorder="1" applyAlignment="1" applyProtection="1">
      <alignment horizontal="center" vertical="center"/>
    </xf>
    <xf numFmtId="184" fontId="0" fillId="6" borderId="1" xfId="0" applyNumberFormat="1" applyFill="1" applyBorder="1" applyProtection="1">
      <alignment vertical="center"/>
    </xf>
    <xf numFmtId="9" fontId="30" fillId="4" borderId="1" xfId="0" applyNumberFormat="1" applyFont="1" applyFill="1" applyBorder="1" applyAlignment="1" applyProtection="1">
      <alignment horizontal="center" vertical="center"/>
      <protection locked="0"/>
    </xf>
    <xf numFmtId="0" fontId="30" fillId="2" borderId="1" xfId="0" applyFont="1" applyFill="1" applyBorder="1" applyAlignment="1" applyProtection="1">
      <alignment vertical="center"/>
      <protection locked="0"/>
    </xf>
    <xf numFmtId="0" fontId="30" fillId="0" borderId="0" xfId="0" applyFont="1" applyAlignment="1"/>
    <xf numFmtId="0" fontId="30" fillId="0" borderId="1" xfId="0" applyFont="1" applyBorder="1" applyAlignment="1">
      <alignment horizontal="center"/>
    </xf>
    <xf numFmtId="0" fontId="30" fillId="0" borderId="10" xfId="0" applyFont="1" applyBorder="1" applyAlignment="1">
      <alignment horizontal="center" vertical="center"/>
    </xf>
    <xf numFmtId="0" fontId="30" fillId="0" borderId="12" xfId="0" applyFont="1" applyBorder="1" applyAlignment="1">
      <alignment horizontal="center" vertical="center"/>
    </xf>
    <xf numFmtId="0" fontId="30" fillId="0" borderId="1" xfId="0" applyFont="1" applyBorder="1" applyAlignment="1">
      <alignment horizontal="center" vertical="center"/>
    </xf>
    <xf numFmtId="0" fontId="30" fillId="0" borderId="1" xfId="0" applyFont="1" applyBorder="1" applyAlignment="1">
      <alignment vertical="center"/>
    </xf>
    <xf numFmtId="0" fontId="74" fillId="4" borderId="10" xfId="0" applyFont="1" applyFill="1" applyBorder="1" applyAlignment="1">
      <alignment horizontal="center" vertical="center"/>
    </xf>
    <xf numFmtId="0" fontId="30" fillId="4" borderId="12" xfId="0" applyFont="1" applyFill="1" applyBorder="1" applyAlignment="1">
      <alignment horizontal="center" vertical="center"/>
    </xf>
    <xf numFmtId="0" fontId="30" fillId="4" borderId="10" xfId="0" applyFont="1" applyFill="1" applyBorder="1" applyAlignment="1">
      <alignment horizontal="center" vertical="center" wrapText="1"/>
    </xf>
    <xf numFmtId="0" fontId="30" fillId="4" borderId="12" xfId="0" applyFont="1" applyFill="1" applyBorder="1" applyAlignment="1">
      <alignment horizontal="center" vertical="center" wrapText="1"/>
    </xf>
    <xf numFmtId="0" fontId="30" fillId="4" borderId="1" xfId="0" applyFont="1" applyFill="1" applyBorder="1" applyAlignment="1">
      <alignment horizontal="center" vertical="center" wrapText="1"/>
    </xf>
    <xf numFmtId="184" fontId="30" fillId="6" borderId="10" xfId="0" applyNumberFormat="1" applyFont="1" applyFill="1" applyBorder="1" applyAlignment="1">
      <alignment horizontal="center" vertical="center" wrapText="1"/>
    </xf>
    <xf numFmtId="184" fontId="30" fillId="6" borderId="12" xfId="0" applyNumberFormat="1" applyFont="1" applyFill="1" applyBorder="1" applyAlignment="1">
      <alignment horizontal="center" vertical="center" wrapText="1"/>
    </xf>
    <xf numFmtId="192" fontId="30" fillId="6" borderId="10" xfId="0" applyNumberFormat="1" applyFont="1" applyFill="1" applyBorder="1" applyAlignment="1">
      <alignment horizontal="center" vertical="center" wrapText="1"/>
    </xf>
    <xf numFmtId="192" fontId="30" fillId="6" borderId="12" xfId="0" applyNumberFormat="1" applyFont="1" applyFill="1" applyBorder="1" applyAlignment="1">
      <alignment horizontal="center" vertical="center" wrapText="1"/>
    </xf>
    <xf numFmtId="0" fontId="30" fillId="0" borderId="2" xfId="0" applyFont="1" applyBorder="1" applyAlignment="1">
      <alignment horizontal="center" vertical="center"/>
    </xf>
    <xf numFmtId="0" fontId="74" fillId="0" borderId="1" xfId="0" applyFont="1" applyBorder="1" applyAlignment="1">
      <alignment vertical="center"/>
    </xf>
    <xf numFmtId="184" fontId="30" fillId="6" borderId="1" xfId="0" applyNumberFormat="1" applyFont="1" applyFill="1" applyBorder="1" applyAlignment="1">
      <alignment horizontal="center" vertical="center" wrapText="1"/>
    </xf>
    <xf numFmtId="0" fontId="30" fillId="0" borderId="3" xfId="0" applyFont="1" applyBorder="1" applyAlignment="1">
      <alignment horizontal="center" vertical="center"/>
    </xf>
    <xf numFmtId="0" fontId="30" fillId="0" borderId="4" xfId="0" applyFont="1" applyBorder="1" applyAlignment="1">
      <alignment horizontal="center" vertical="center"/>
    </xf>
    <xf numFmtId="0" fontId="30" fillId="6" borderId="1" xfId="0" applyFont="1" applyFill="1" applyBorder="1" applyAlignment="1">
      <alignment horizontal="center" vertical="center" wrapText="1"/>
    </xf>
    <xf numFmtId="184" fontId="30" fillId="18" borderId="1" xfId="0" applyNumberFormat="1" applyFont="1" applyFill="1" applyBorder="1" applyAlignment="1">
      <alignment horizontal="center" vertical="center"/>
    </xf>
    <xf numFmtId="0" fontId="30" fillId="4" borderId="10" xfId="0" applyFont="1" applyFill="1" applyBorder="1" applyAlignment="1">
      <alignment horizontal="center" vertical="center"/>
    </xf>
    <xf numFmtId="0" fontId="30" fillId="24" borderId="99" xfId="0" applyFont="1" applyFill="1" applyBorder="1" applyAlignment="1">
      <alignment horizontal="center" vertical="center"/>
    </xf>
    <xf numFmtId="0" fontId="30" fillId="24" borderId="0" xfId="0" applyFont="1" applyFill="1" applyBorder="1" applyAlignment="1">
      <alignment horizontal="center" vertical="center"/>
    </xf>
    <xf numFmtId="0" fontId="30" fillId="56" borderId="77" xfId="0" applyFont="1" applyFill="1" applyBorder="1" applyAlignment="1">
      <alignment horizontal="center" vertical="center"/>
    </xf>
    <xf numFmtId="0" fontId="30" fillId="56" borderId="87" xfId="0" applyFont="1" applyFill="1" applyBorder="1" applyAlignment="1">
      <alignment horizontal="center" vertical="center"/>
    </xf>
    <xf numFmtId="0" fontId="30" fillId="56" borderId="1" xfId="0" applyFont="1" applyFill="1" applyBorder="1" applyAlignment="1">
      <alignment vertical="center"/>
    </xf>
    <xf numFmtId="49" fontId="0" fillId="0" borderId="0" xfId="0" applyNumberFormat="1" applyBorder="1">
      <alignment vertical="center"/>
    </xf>
    <xf numFmtId="0" fontId="0" fillId="0" borderId="0" xfId="0" applyBorder="1" applyAlignment="1">
      <alignment horizontal="center" vertical="center"/>
    </xf>
    <xf numFmtId="0" fontId="74" fillId="22" borderId="81" xfId="0" applyFont="1" applyFill="1" applyBorder="1" applyAlignment="1">
      <alignment horizontal="left" vertical="center"/>
    </xf>
    <xf numFmtId="0" fontId="52" fillId="7" borderId="1" xfId="0" applyFont="1" applyFill="1" applyBorder="1" applyAlignment="1">
      <alignment horizontal="center" vertical="center"/>
    </xf>
    <xf numFmtId="189" fontId="30" fillId="7" borderId="10" xfId="0" applyNumberFormat="1" applyFont="1" applyFill="1" applyBorder="1" applyAlignment="1">
      <alignment horizontal="center" vertical="center"/>
    </xf>
    <xf numFmtId="189" fontId="30" fillId="7" borderId="11" xfId="0" applyNumberFormat="1" applyFont="1" applyFill="1" applyBorder="1" applyAlignment="1">
      <alignment horizontal="center" vertical="center"/>
    </xf>
    <xf numFmtId="189" fontId="30" fillId="7" borderId="12" xfId="0" applyNumberFormat="1" applyFont="1" applyFill="1" applyBorder="1" applyAlignment="1">
      <alignment horizontal="center" vertical="center"/>
    </xf>
    <xf numFmtId="189" fontId="52" fillId="7" borderId="1" xfId="0" applyNumberFormat="1" applyFont="1" applyFill="1" applyBorder="1" applyAlignment="1">
      <alignment horizontal="center" vertical="center"/>
    </xf>
    <xf numFmtId="9" fontId="30" fillId="7" borderId="10" xfId="0" applyNumberFormat="1" applyFont="1" applyFill="1" applyBorder="1" applyAlignment="1">
      <alignment horizontal="center" vertical="center"/>
    </xf>
    <xf numFmtId="9" fontId="30" fillId="7" borderId="12" xfId="0" applyNumberFormat="1" applyFont="1" applyFill="1" applyBorder="1" applyAlignment="1">
      <alignment horizontal="center" vertical="center"/>
    </xf>
    <xf numFmtId="9" fontId="30" fillId="7" borderId="1" xfId="0" applyNumberFormat="1" applyFont="1" applyFill="1" applyBorder="1" applyAlignment="1">
      <alignment horizontal="center" vertical="center"/>
    </xf>
    <xf numFmtId="0" fontId="30" fillId="68" borderId="81" xfId="0" applyFont="1" applyFill="1" applyBorder="1" applyAlignment="1">
      <alignment horizontal="left" vertical="center"/>
    </xf>
    <xf numFmtId="0" fontId="30" fillId="4" borderId="82" xfId="0" applyFont="1" applyFill="1" applyBorder="1" applyAlignment="1" applyProtection="1">
      <alignment horizontal="center" vertical="center" wrapText="1"/>
      <protection locked="0"/>
    </xf>
    <xf numFmtId="9" fontId="133" fillId="7" borderId="1" xfId="0" applyNumberFormat="1" applyFont="1" applyFill="1" applyBorder="1" applyAlignment="1">
      <alignment horizontal="center" vertical="center" wrapText="1"/>
    </xf>
    <xf numFmtId="176" fontId="30" fillId="7" borderId="1" xfId="0" applyNumberFormat="1" applyFont="1" applyFill="1" applyBorder="1" applyAlignment="1">
      <alignment horizontal="center" vertical="center"/>
    </xf>
    <xf numFmtId="0" fontId="30" fillId="6" borderId="82" xfId="0" applyFont="1" applyFill="1" applyBorder="1" applyAlignment="1" applyProtection="1">
      <alignment horizontal="center" vertical="center"/>
    </xf>
    <xf numFmtId="0" fontId="134" fillId="0" borderId="1" xfId="0" applyFont="1" applyFill="1" applyBorder="1" applyAlignment="1">
      <alignment horizontal="left" vertical="center" wrapText="1"/>
    </xf>
    <xf numFmtId="189" fontId="30" fillId="6" borderId="10" xfId="0" applyNumberFormat="1" applyFont="1" applyFill="1" applyBorder="1" applyAlignment="1" applyProtection="1">
      <alignment horizontal="center" vertical="center"/>
    </xf>
    <xf numFmtId="194" fontId="30" fillId="6" borderId="10" xfId="0" applyNumberFormat="1" applyFont="1" applyFill="1" applyBorder="1" applyAlignment="1" applyProtection="1">
      <alignment horizontal="center" vertical="center"/>
    </xf>
    <xf numFmtId="0" fontId="30" fillId="19" borderId="83" xfId="0" applyFont="1" applyFill="1" applyBorder="1" applyAlignment="1">
      <alignment horizontal="left" vertical="center"/>
    </xf>
    <xf numFmtId="193" fontId="30" fillId="19" borderId="176" xfId="0" applyNumberFormat="1" applyFont="1" applyFill="1" applyBorder="1" applyAlignment="1">
      <alignment horizontal="center" vertical="center"/>
    </xf>
    <xf numFmtId="9" fontId="133" fillId="7" borderId="176" xfId="0" applyNumberFormat="1" applyFont="1" applyFill="1" applyBorder="1" applyAlignment="1">
      <alignment horizontal="center" vertical="center" wrapText="1"/>
    </xf>
    <xf numFmtId="9" fontId="133" fillId="7" borderId="132" xfId="0" applyNumberFormat="1" applyFont="1" applyFill="1" applyBorder="1" applyAlignment="1">
      <alignment horizontal="center" vertical="center" wrapText="1"/>
    </xf>
    <xf numFmtId="9" fontId="133" fillId="7" borderId="106" xfId="0" applyNumberFormat="1" applyFont="1" applyFill="1" applyBorder="1" applyAlignment="1">
      <alignment horizontal="center" vertical="center" wrapText="1"/>
    </xf>
    <xf numFmtId="0" fontId="30" fillId="7" borderId="84" xfId="0" applyFont="1" applyFill="1" applyBorder="1" applyAlignment="1">
      <alignment horizontal="center" vertical="center"/>
    </xf>
    <xf numFmtId="176" fontId="30" fillId="7" borderId="176" xfId="0" applyNumberFormat="1" applyFont="1" applyFill="1" applyBorder="1" applyAlignment="1">
      <alignment horizontal="center" vertical="center"/>
    </xf>
    <xf numFmtId="0" fontId="30" fillId="13" borderId="1" xfId="0" applyFont="1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30" fillId="7" borderId="12" xfId="0" applyFont="1" applyFill="1" applyBorder="1" applyAlignment="1">
      <alignment horizontal="center" vertical="center" wrapText="1"/>
    </xf>
    <xf numFmtId="0" fontId="30" fillId="7" borderId="12" xfId="0" applyFont="1" applyFill="1" applyBorder="1" applyAlignment="1">
      <alignment horizontal="center" vertical="center"/>
    </xf>
    <xf numFmtId="0" fontId="30" fillId="7" borderId="1" xfId="0" applyFont="1" applyFill="1" applyBorder="1" applyAlignment="1">
      <alignment horizontal="center" vertical="center" wrapText="1"/>
    </xf>
    <xf numFmtId="0" fontId="135" fillId="7" borderId="177" xfId="0" applyFont="1" applyFill="1" applyBorder="1" applyAlignment="1">
      <alignment horizontal="left" vertical="top" wrapText="1"/>
    </xf>
    <xf numFmtId="0" fontId="30" fillId="7" borderId="11" xfId="0" applyFont="1" applyFill="1" applyBorder="1" applyAlignment="1">
      <alignment horizontal="center" vertical="center"/>
    </xf>
    <xf numFmtId="0" fontId="135" fillId="7" borderId="177" xfId="0" applyFont="1" applyFill="1" applyBorder="1" applyAlignment="1">
      <alignment horizontal="left" vertical="top"/>
    </xf>
    <xf numFmtId="9" fontId="30" fillId="7" borderId="1" xfId="16" applyFont="1" applyFill="1" applyBorder="1" applyAlignment="1">
      <alignment horizontal="center" vertical="center"/>
    </xf>
    <xf numFmtId="9" fontId="30" fillId="7" borderId="10" xfId="16" applyFont="1" applyFill="1" applyBorder="1" applyAlignment="1">
      <alignment horizontal="center" vertical="center"/>
    </xf>
    <xf numFmtId="9" fontId="30" fillId="7" borderId="1" xfId="16" applyNumberFormat="1" applyFont="1" applyFill="1" applyBorder="1" applyAlignment="1">
      <alignment horizontal="center" vertical="center" wrapText="1"/>
    </xf>
    <xf numFmtId="0" fontId="69" fillId="0" borderId="77" xfId="0" applyFont="1" applyBorder="1" applyAlignment="1">
      <alignment horizontal="center"/>
    </xf>
    <xf numFmtId="0" fontId="136" fillId="0" borderId="8" xfId="0" applyFont="1" applyBorder="1" applyAlignment="1">
      <alignment horizontal="center"/>
    </xf>
    <xf numFmtId="0" fontId="136" fillId="0" borderId="89" xfId="0" applyFont="1" applyBorder="1" applyAlignment="1">
      <alignment horizontal="center"/>
    </xf>
    <xf numFmtId="0" fontId="136" fillId="0" borderId="78" xfId="0" applyFont="1" applyBorder="1" applyAlignment="1">
      <alignment horizontal="center"/>
    </xf>
    <xf numFmtId="0" fontId="136" fillId="0" borderId="81" xfId="0" applyFont="1" applyBorder="1" applyAlignment="1">
      <alignment horizontal="center"/>
    </xf>
    <xf numFmtId="9" fontId="69" fillId="4" borderId="1" xfId="0" applyNumberFormat="1" applyFont="1" applyFill="1" applyBorder="1" applyAlignment="1">
      <alignment horizontal="center"/>
    </xf>
    <xf numFmtId="1" fontId="69" fillId="0" borderId="1" xfId="0" applyNumberFormat="1" applyFont="1" applyBorder="1" applyAlignment="1">
      <alignment horizontal="center"/>
    </xf>
    <xf numFmtId="9" fontId="69" fillId="7" borderId="84" xfId="0" applyNumberFormat="1" applyFont="1" applyFill="1" applyBorder="1" applyAlignment="1">
      <alignment horizontal="center"/>
    </xf>
    <xf numFmtId="9" fontId="69" fillId="0" borderId="1" xfId="16" applyFont="1" applyBorder="1" applyAlignment="1">
      <alignment horizontal="center"/>
    </xf>
    <xf numFmtId="9" fontId="111" fillId="4" borderId="1" xfId="16" applyFont="1" applyFill="1" applyBorder="1" applyAlignment="1">
      <alignment horizontal="center"/>
    </xf>
    <xf numFmtId="10" fontId="69" fillId="0" borderId="82" xfId="16" applyNumberFormat="1" applyFont="1" applyBorder="1" applyAlignment="1">
      <alignment horizontal="center"/>
    </xf>
    <xf numFmtId="0" fontId="69" fillId="0" borderId="1" xfId="0" applyFont="1" applyBorder="1" applyAlignment="1">
      <alignment horizontal="center"/>
    </xf>
    <xf numFmtId="1" fontId="76" fillId="13" borderId="1" xfId="0" applyNumberFormat="1" applyFont="1" applyFill="1" applyBorder="1" applyAlignment="1">
      <alignment horizontal="center"/>
    </xf>
    <xf numFmtId="0" fontId="69" fillId="0" borderId="12" xfId="0" applyFont="1" applyBorder="1" applyAlignment="1">
      <alignment horizontal="center"/>
    </xf>
    <xf numFmtId="9" fontId="111" fillId="6" borderId="1" xfId="16" applyFont="1" applyFill="1" applyBorder="1" applyAlignment="1">
      <alignment horizontal="center"/>
    </xf>
    <xf numFmtId="10" fontId="111" fillId="6" borderId="82" xfId="16" applyNumberFormat="1" applyFont="1" applyFill="1" applyBorder="1" applyAlignment="1">
      <alignment horizontal="center"/>
    </xf>
    <xf numFmtId="0" fontId="136" fillId="0" borderId="83" xfId="0" applyFont="1" applyBorder="1" applyAlignment="1">
      <alignment horizontal="center"/>
    </xf>
    <xf numFmtId="1" fontId="69" fillId="0" borderId="84" xfId="0" applyNumberFormat="1" applyFont="1" applyBorder="1" applyAlignment="1">
      <alignment horizontal="center"/>
    </xf>
    <xf numFmtId="9" fontId="69" fillId="0" borderId="84" xfId="16" applyFont="1" applyBorder="1" applyAlignment="1">
      <alignment horizontal="center"/>
    </xf>
    <xf numFmtId="9" fontId="111" fillId="7" borderId="84" xfId="16" applyFont="1" applyFill="1" applyBorder="1" applyAlignment="1">
      <alignment horizontal="center"/>
    </xf>
    <xf numFmtId="10" fontId="69" fillId="0" borderId="85" xfId="16" applyNumberFormat="1" applyFont="1" applyBorder="1" applyAlignment="1">
      <alignment horizontal="center"/>
    </xf>
    <xf numFmtId="0" fontId="69" fillId="0" borderId="77" xfId="0" applyFont="1" applyBorder="1" applyAlignment="1"/>
    <xf numFmtId="0" fontId="69" fillId="0" borderId="0" xfId="0" applyFont="1" applyAlignment="1"/>
    <xf numFmtId="9" fontId="69" fillId="0" borderId="1" xfId="0" applyNumberFormat="1" applyFont="1" applyBorder="1" applyAlignment="1">
      <alignment horizontal="center"/>
    </xf>
    <xf numFmtId="185" fontId="69" fillId="0" borderId="12" xfId="16" applyNumberFormat="1" applyFont="1" applyBorder="1" applyAlignment="1">
      <alignment horizontal="center"/>
    </xf>
    <xf numFmtId="0" fontId="69" fillId="4" borderId="82" xfId="0" applyFont="1" applyFill="1" applyBorder="1" applyAlignment="1">
      <alignment horizontal="center"/>
    </xf>
    <xf numFmtId="9" fontId="69" fillId="0" borderId="84" xfId="0" applyNumberFormat="1" applyFont="1" applyBorder="1" applyAlignment="1">
      <alignment horizontal="center"/>
    </xf>
    <xf numFmtId="0" fontId="69" fillId="4" borderId="84" xfId="0" applyNumberFormat="1" applyFont="1" applyFill="1" applyBorder="1" applyAlignment="1">
      <alignment horizontal="center"/>
    </xf>
    <xf numFmtId="185" fontId="69" fillId="0" borderId="106" xfId="16" applyNumberFormat="1" applyFont="1" applyBorder="1" applyAlignment="1">
      <alignment horizontal="center"/>
    </xf>
    <xf numFmtId="0" fontId="69" fillId="4" borderId="85" xfId="0" applyFont="1" applyFill="1" applyBorder="1" applyAlignment="1">
      <alignment horizontal="center"/>
    </xf>
    <xf numFmtId="2" fontId="136" fillId="0" borderId="82" xfId="0" applyNumberFormat="1" applyFont="1" applyBorder="1" applyAlignment="1">
      <alignment horizontal="center"/>
    </xf>
    <xf numFmtId="2" fontId="69" fillId="0" borderId="0" xfId="0" applyNumberFormat="1" applyFont="1" applyAlignment="1">
      <alignment horizontal="center"/>
    </xf>
    <xf numFmtId="0" fontId="69" fillId="0" borderId="1" xfId="0" applyFont="1" applyBorder="1" applyAlignment="1"/>
    <xf numFmtId="2" fontId="69" fillId="0" borderId="82" xfId="0" applyNumberFormat="1" applyFont="1" applyBorder="1" applyAlignment="1">
      <alignment horizontal="center"/>
    </xf>
    <xf numFmtId="0" fontId="29" fillId="0" borderId="1" xfId="0" applyFont="1" applyBorder="1">
      <alignment vertical="center"/>
    </xf>
    <xf numFmtId="0" fontId="9" fillId="0" borderId="1" xfId="273" applyBorder="1"/>
    <xf numFmtId="0" fontId="9" fillId="0" borderId="10" xfId="273" applyBorder="1"/>
    <xf numFmtId="0" fontId="9" fillId="0" borderId="0" xfId="273" applyFill="1" applyBorder="1"/>
    <xf numFmtId="0" fontId="0" fillId="0" borderId="107" xfId="0" applyBorder="1" applyAlignment="1">
      <alignment horizontal="center" vertical="center"/>
    </xf>
    <xf numFmtId="0" fontId="30" fillId="7" borderId="1" xfId="0" applyNumberFormat="1" applyFont="1" applyFill="1" applyBorder="1" applyAlignment="1">
      <alignment horizontal="center" vertical="center"/>
    </xf>
    <xf numFmtId="0" fontId="30" fillId="7" borderId="82" xfId="0" applyNumberFormat="1" applyFont="1" applyFill="1" applyBorder="1" applyAlignment="1">
      <alignment horizontal="center" vertical="center"/>
    </xf>
    <xf numFmtId="0" fontId="30" fillId="7" borderId="82" xfId="0" applyFont="1" applyFill="1" applyBorder="1" applyAlignment="1">
      <alignment horizontal="center" vertical="center"/>
    </xf>
    <xf numFmtId="0" fontId="74" fillId="7" borderId="1" xfId="0" applyNumberFormat="1" applyFont="1" applyFill="1" applyBorder="1" applyAlignment="1">
      <alignment horizontal="center" vertical="center"/>
    </xf>
    <xf numFmtId="0" fontId="74" fillId="7" borderId="176" xfId="0" applyNumberFormat="1" applyFont="1" applyFill="1" applyBorder="1" applyAlignment="1">
      <alignment horizontal="center" vertical="center"/>
    </xf>
    <xf numFmtId="0" fontId="30" fillId="7" borderId="85" xfId="0" applyFont="1" applyFill="1" applyBorder="1" applyAlignment="1">
      <alignment horizontal="center" vertical="center"/>
    </xf>
    <xf numFmtId="0" fontId="36" fillId="0" borderId="0" xfId="0" applyFont="1" applyAlignment="1"/>
    <xf numFmtId="0" fontId="29" fillId="0" borderId="1" xfId="0" applyFont="1" applyFill="1" applyBorder="1">
      <alignment vertical="center"/>
    </xf>
    <xf numFmtId="0" fontId="35" fillId="0" borderId="10" xfId="0" applyFont="1" applyBorder="1" applyAlignment="1">
      <alignment horizontal="center"/>
    </xf>
    <xf numFmtId="0" fontId="35" fillId="0" borderId="12" xfId="0" applyFont="1" applyBorder="1" applyAlignment="1">
      <alignment horizontal="center"/>
    </xf>
    <xf numFmtId="0" fontId="35" fillId="0" borderId="0" xfId="0" applyFont="1" applyBorder="1" applyAlignment="1">
      <alignment horizontal="center"/>
    </xf>
    <xf numFmtId="0" fontId="35" fillId="0" borderId="1" xfId="0" applyFont="1" applyBorder="1" applyAlignment="1"/>
    <xf numFmtId="0" fontId="11" fillId="0" borderId="1" xfId="0" applyFont="1" applyBorder="1">
      <alignment vertical="center"/>
    </xf>
    <xf numFmtId="0" fontId="11" fillId="0" borderId="0" xfId="0" applyFont="1" applyBorder="1">
      <alignment vertical="center"/>
    </xf>
    <xf numFmtId="185" fontId="137" fillId="0" borderId="1" xfId="16" applyNumberFormat="1" applyFont="1" applyBorder="1" applyAlignment="1">
      <alignment horizontal="center" vertical="center"/>
    </xf>
    <xf numFmtId="185" fontId="52" fillId="0" borderId="1" xfId="16" applyNumberFormat="1" applyFont="1" applyBorder="1" applyAlignment="1">
      <alignment horizontal="center" vertical="center"/>
    </xf>
    <xf numFmtId="185" fontId="52" fillId="0" borderId="0" xfId="16" applyNumberFormat="1" applyFont="1" applyBorder="1" applyAlignment="1">
      <alignment horizontal="center" vertical="center"/>
    </xf>
    <xf numFmtId="9" fontId="52" fillId="0" borderId="1" xfId="16" applyNumberFormat="1" applyFont="1" applyBorder="1" applyAlignment="1">
      <alignment horizontal="center" vertical="center"/>
    </xf>
    <xf numFmtId="2" fontId="69" fillId="0" borderId="85" xfId="0" applyNumberFormat="1" applyFont="1" applyBorder="1" applyAlignment="1">
      <alignment horizontal="center"/>
    </xf>
    <xf numFmtId="0" fontId="59" fillId="0" borderId="0" xfId="0" applyFont="1" applyFill="1" applyBorder="1" applyAlignment="1">
      <alignment horizontal="left"/>
    </xf>
    <xf numFmtId="0" fontId="30" fillId="0" borderId="1" xfId="0" applyFont="1" applyBorder="1" applyAlignment="1">
      <alignment horizontal="right" vertical="center"/>
    </xf>
    <xf numFmtId="9" fontId="30" fillId="0" borderId="1" xfId="16" applyFont="1" applyBorder="1" applyAlignment="1">
      <alignment horizontal="center" vertical="center"/>
    </xf>
    <xf numFmtId="189" fontId="30" fillId="6" borderId="1" xfId="0" applyNumberFormat="1" applyFont="1" applyFill="1" applyBorder="1" applyAlignment="1">
      <alignment horizontal="center" vertical="center"/>
    </xf>
    <xf numFmtId="2" fontId="30" fillId="0" borderId="1" xfId="0" applyNumberFormat="1" applyFont="1" applyBorder="1" applyAlignment="1">
      <alignment horizontal="center" vertical="center"/>
    </xf>
    <xf numFmtId="0" fontId="30" fillId="0" borderId="1" xfId="0" applyFont="1" applyBorder="1" applyAlignment="1">
      <alignment horizontal="right" vertical="center" wrapText="1"/>
    </xf>
    <xf numFmtId="185" fontId="30" fillId="6" borderId="1" xfId="16" applyNumberFormat="1" applyFont="1" applyFill="1" applyBorder="1" applyAlignment="1">
      <alignment horizontal="center" vertical="center"/>
    </xf>
    <xf numFmtId="10" fontId="30" fillId="2" borderId="1" xfId="16" applyNumberFormat="1" applyFont="1" applyFill="1" applyBorder="1" applyAlignment="1">
      <alignment horizontal="center" vertical="center"/>
    </xf>
    <xf numFmtId="1" fontId="30" fillId="6" borderId="1" xfId="0" applyNumberFormat="1" applyFont="1" applyFill="1" applyBorder="1" applyAlignment="1">
      <alignment horizontal="center" vertical="center"/>
    </xf>
    <xf numFmtId="1" fontId="30" fillId="4" borderId="1" xfId="0" applyNumberFormat="1" applyFont="1" applyFill="1" applyBorder="1" applyAlignment="1">
      <alignment horizontal="center" vertical="center"/>
    </xf>
    <xf numFmtId="1" fontId="30" fillId="2" borderId="1" xfId="0" applyNumberFormat="1" applyFont="1" applyFill="1" applyBorder="1" applyAlignment="1">
      <alignment horizontal="center" vertical="center"/>
    </xf>
    <xf numFmtId="195" fontId="30" fillId="6" borderId="1" xfId="0" applyNumberFormat="1" applyFont="1" applyFill="1" applyBorder="1" applyAlignment="1">
      <alignment horizontal="center" vertical="center"/>
    </xf>
    <xf numFmtId="195" fontId="30" fillId="0" borderId="1" xfId="0" applyNumberFormat="1" applyFont="1" applyBorder="1" applyAlignment="1">
      <alignment horizontal="center" vertical="center"/>
    </xf>
    <xf numFmtId="0" fontId="125" fillId="0" borderId="0" xfId="0" applyFont="1" applyFill="1" applyBorder="1" applyAlignment="1">
      <alignment horizontal="left" vertical="center"/>
    </xf>
    <xf numFmtId="0" fontId="59" fillId="0" borderId="8" xfId="0" applyFont="1" applyBorder="1" applyAlignment="1">
      <alignment horizontal="center" vertical="center"/>
    </xf>
    <xf numFmtId="0" fontId="59" fillId="0" borderId="78" xfId="0" applyFont="1" applyBorder="1" applyAlignment="1">
      <alignment horizontal="center" vertical="center"/>
    </xf>
    <xf numFmtId="185" fontId="69" fillId="0" borderId="1" xfId="0" applyNumberFormat="1" applyFont="1" applyBorder="1" applyAlignment="1">
      <alignment horizontal="center"/>
    </xf>
    <xf numFmtId="2" fontId="76" fillId="13" borderId="1" xfId="0" applyNumberFormat="1" applyFont="1" applyFill="1" applyBorder="1" applyAlignment="1">
      <alignment horizontal="center"/>
    </xf>
    <xf numFmtId="9" fontId="69" fillId="4" borderId="1" xfId="16" applyFont="1" applyFill="1" applyBorder="1" applyAlignment="1">
      <alignment horizontal="center"/>
    </xf>
    <xf numFmtId="189" fontId="69" fillId="0" borderId="1" xfId="16" applyNumberFormat="1" applyFont="1" applyBorder="1" applyAlignment="1">
      <alignment horizontal="center"/>
    </xf>
    <xf numFmtId="195" fontId="69" fillId="0" borderId="1" xfId="0" applyNumberFormat="1" applyFont="1" applyBorder="1" applyAlignment="1">
      <alignment horizontal="center"/>
    </xf>
    <xf numFmtId="2" fontId="76" fillId="13" borderId="82" xfId="0" applyNumberFormat="1" applyFont="1" applyFill="1" applyBorder="1" applyAlignment="1">
      <alignment horizontal="center"/>
    </xf>
    <xf numFmtId="2" fontId="69" fillId="0" borderId="1" xfId="0" applyNumberFormat="1" applyFont="1" applyBorder="1" applyAlignment="1">
      <alignment horizontal="center"/>
    </xf>
    <xf numFmtId="189" fontId="69" fillId="4" borderId="1" xfId="16" applyNumberFormat="1" applyFont="1" applyFill="1" applyBorder="1" applyAlignment="1">
      <alignment horizontal="center"/>
    </xf>
    <xf numFmtId="2" fontId="69" fillId="2" borderId="1" xfId="0" applyNumberFormat="1" applyFont="1" applyFill="1" applyBorder="1" applyAlignment="1">
      <alignment horizontal="center"/>
    </xf>
    <xf numFmtId="194" fontId="69" fillId="0" borderId="1" xfId="0" applyNumberFormat="1" applyFont="1" applyBorder="1" applyAlignment="1">
      <alignment horizontal="center"/>
    </xf>
    <xf numFmtId="2" fontId="69" fillId="2" borderId="82" xfId="0" applyNumberFormat="1" applyFont="1" applyFill="1" applyBorder="1" applyAlignment="1">
      <alignment horizontal="center"/>
    </xf>
    <xf numFmtId="0" fontId="69" fillId="0" borderId="81" xfId="0" applyFont="1" applyBorder="1" applyAlignment="1">
      <alignment horizontal="center"/>
    </xf>
    <xf numFmtId="0" fontId="136" fillId="0" borderId="1" xfId="0" applyFont="1" applyBorder="1" applyAlignment="1">
      <alignment horizontal="center"/>
    </xf>
    <xf numFmtId="0" fontId="136" fillId="0" borderId="82" xfId="0" applyFont="1" applyBorder="1" applyAlignment="1">
      <alignment horizontal="center"/>
    </xf>
    <xf numFmtId="185" fontId="69" fillId="4" borderId="1" xfId="0" applyNumberFormat="1" applyFont="1" applyFill="1" applyBorder="1" applyAlignment="1">
      <alignment horizontal="center"/>
    </xf>
    <xf numFmtId="176" fontId="69" fillId="0" borderId="1" xfId="0" applyNumberFormat="1" applyFont="1" applyBorder="1" applyAlignment="1">
      <alignment horizontal="center"/>
    </xf>
    <xf numFmtId="185" fontId="69" fillId="7" borderId="1" xfId="0" applyNumberFormat="1" applyFont="1" applyFill="1" applyBorder="1" applyAlignment="1">
      <alignment horizontal="center"/>
    </xf>
    <xf numFmtId="185" fontId="111" fillId="7" borderId="1" xfId="16" applyNumberFormat="1" applyFont="1" applyFill="1" applyBorder="1" applyAlignment="1">
      <alignment horizontal="center"/>
    </xf>
    <xf numFmtId="190" fontId="69" fillId="6" borderId="1" xfId="16" applyNumberFormat="1" applyFont="1" applyFill="1" applyBorder="1" applyAlignment="1">
      <alignment horizontal="center"/>
    </xf>
    <xf numFmtId="189" fontId="69" fillId="6" borderId="1" xfId="16" applyNumberFormat="1" applyFont="1" applyFill="1" applyBorder="1" applyAlignment="1">
      <alignment horizontal="center"/>
    </xf>
    <xf numFmtId="10" fontId="69" fillId="6" borderId="82" xfId="16" applyNumberFormat="1" applyFont="1" applyFill="1" applyBorder="1" applyAlignment="1">
      <alignment horizontal="center"/>
    </xf>
    <xf numFmtId="185" fontId="69" fillId="7" borderId="84" xfId="0" applyNumberFormat="1" applyFont="1" applyFill="1" applyBorder="1" applyAlignment="1">
      <alignment horizontal="center"/>
    </xf>
    <xf numFmtId="176" fontId="69" fillId="0" borderId="84" xfId="0" applyNumberFormat="1" applyFont="1" applyBorder="1" applyAlignment="1">
      <alignment horizontal="center"/>
    </xf>
    <xf numFmtId="189" fontId="69" fillId="0" borderId="84" xfId="16" applyNumberFormat="1" applyFont="1" applyBorder="1" applyAlignment="1">
      <alignment horizontal="center"/>
    </xf>
    <xf numFmtId="185" fontId="111" fillId="7" borderId="84" xfId="16" applyNumberFormat="1" applyFont="1" applyFill="1" applyBorder="1" applyAlignment="1">
      <alignment horizontal="center"/>
    </xf>
    <xf numFmtId="0" fontId="125" fillId="0" borderId="0" xfId="0" applyFont="1" applyFill="1" applyBorder="1" applyAlignment="1">
      <alignment horizontal="left"/>
    </xf>
    <xf numFmtId="0" fontId="136" fillId="0" borderId="0" xfId="0" applyFont="1" applyFill="1" applyBorder="1" applyAlignment="1">
      <alignment horizontal="right"/>
    </xf>
    <xf numFmtId="1" fontId="30" fillId="4" borderId="2" xfId="0" applyNumberFormat="1" applyFont="1" applyFill="1" applyBorder="1" applyAlignment="1">
      <alignment horizontal="center" vertical="center"/>
    </xf>
    <xf numFmtId="0" fontId="59" fillId="0" borderId="8" xfId="0" applyFont="1" applyBorder="1" applyAlignment="1">
      <alignment horizontal="center"/>
    </xf>
    <xf numFmtId="0" fontId="59" fillId="0" borderId="78" xfId="0" applyFont="1" applyBorder="1" applyAlignment="1">
      <alignment horizontal="center"/>
    </xf>
    <xf numFmtId="0" fontId="59" fillId="0" borderId="81" xfId="0" applyFont="1" applyBorder="1" applyAlignment="1">
      <alignment horizontal="center"/>
    </xf>
    <xf numFmtId="0" fontId="59" fillId="0" borderId="1" xfId="0" applyFont="1" applyBorder="1" applyAlignment="1">
      <alignment horizontal="center"/>
    </xf>
    <xf numFmtId="0" fontId="59" fillId="0" borderId="82" xfId="0" applyFont="1" applyBorder="1" applyAlignment="1">
      <alignment horizontal="center"/>
    </xf>
    <xf numFmtId="185" fontId="69" fillId="2" borderId="1" xfId="0" applyNumberFormat="1" applyFont="1" applyFill="1" applyBorder="1" applyAlignment="1">
      <alignment horizontal="center"/>
    </xf>
    <xf numFmtId="185" fontId="69" fillId="4" borderId="1" xfId="16" applyNumberFormat="1" applyFont="1" applyFill="1" applyBorder="1" applyAlignment="1">
      <alignment horizontal="center"/>
    </xf>
    <xf numFmtId="0" fontId="69" fillId="2" borderId="1" xfId="0" applyFont="1" applyFill="1" applyBorder="1" applyAlignment="1">
      <alignment horizontal="center"/>
    </xf>
    <xf numFmtId="0" fontId="59" fillId="0" borderId="83" xfId="0" applyFont="1" applyBorder="1" applyAlignment="1">
      <alignment horizontal="center"/>
    </xf>
    <xf numFmtId="185" fontId="69" fillId="2" borderId="84" xfId="0" applyNumberFormat="1" applyFont="1" applyFill="1" applyBorder="1" applyAlignment="1">
      <alignment horizontal="center"/>
    </xf>
    <xf numFmtId="185" fontId="69" fillId="7" borderId="84" xfId="16" applyNumberFormat="1" applyFont="1" applyFill="1" applyBorder="1" applyAlignment="1">
      <alignment horizontal="center"/>
    </xf>
    <xf numFmtId="184" fontId="11" fillId="6" borderId="1" xfId="0" applyNumberFormat="1" applyFont="1" applyFill="1" applyBorder="1" applyAlignment="1">
      <alignment horizontal="center" vertical="center"/>
    </xf>
    <xf numFmtId="0" fontId="30" fillId="5" borderId="1" xfId="0" applyFont="1" applyFill="1" applyBorder="1" applyAlignment="1">
      <alignment horizontal="center" vertical="center"/>
    </xf>
    <xf numFmtId="0" fontId="11" fillId="6" borderId="1" xfId="0" applyFont="1" applyFill="1" applyBorder="1" applyAlignment="1">
      <alignment horizontal="center" vertical="center"/>
    </xf>
    <xf numFmtId="189" fontId="30" fillId="19" borderId="1" xfId="0" applyNumberFormat="1" applyFont="1" applyFill="1" applyBorder="1" applyAlignment="1">
      <alignment horizontal="center" vertical="center"/>
    </xf>
    <xf numFmtId="189" fontId="30" fillId="13" borderId="1" xfId="0" applyNumberFormat="1" applyFont="1" applyFill="1" applyBorder="1" applyAlignment="1">
      <alignment horizontal="center" vertical="center"/>
    </xf>
    <xf numFmtId="0" fontId="11" fillId="0" borderId="2" xfId="0" applyFont="1" applyBorder="1" applyAlignment="1">
      <alignment horizontal="center" vertical="center"/>
    </xf>
    <xf numFmtId="0" fontId="11" fillId="0" borderId="3" xfId="0" applyFont="1" applyBorder="1" applyAlignment="1">
      <alignment horizontal="center" vertical="center"/>
    </xf>
    <xf numFmtId="189" fontId="31" fillId="15" borderId="1" xfId="0" applyNumberFormat="1" applyFont="1" applyFill="1" applyBorder="1" applyAlignment="1">
      <alignment horizontal="center" vertical="center"/>
    </xf>
    <xf numFmtId="189" fontId="31" fillId="19" borderId="1" xfId="0" applyNumberFormat="1" applyFont="1" applyFill="1" applyBorder="1" applyAlignment="1">
      <alignment horizontal="center" vertical="center"/>
    </xf>
    <xf numFmtId="192" fontId="11" fillId="6" borderId="1" xfId="0" applyNumberFormat="1" applyFont="1" applyFill="1" applyBorder="1" applyAlignment="1">
      <alignment horizontal="center" vertical="center"/>
    </xf>
    <xf numFmtId="0" fontId="11" fillId="0" borderId="4" xfId="0" applyFont="1" applyBorder="1" applyAlignment="1">
      <alignment horizontal="center" vertical="center"/>
    </xf>
    <xf numFmtId="0" fontId="138" fillId="0" borderId="177" xfId="0" applyFont="1" applyBorder="1" applyAlignment="1">
      <alignment horizontal="left" wrapText="1"/>
    </xf>
    <xf numFmtId="0" fontId="11" fillId="13" borderId="1" xfId="0" applyFont="1" applyFill="1" applyBorder="1" applyAlignment="1">
      <alignment horizontal="center" vertical="center"/>
    </xf>
    <xf numFmtId="185" fontId="12" fillId="15" borderId="1" xfId="16" applyNumberFormat="1" applyFont="1" applyFill="1" applyBorder="1" applyAlignment="1">
      <alignment horizontal="center" vertical="center"/>
    </xf>
    <xf numFmtId="185" fontId="12" fillId="0" borderId="1" xfId="16" applyNumberFormat="1" applyFont="1" applyBorder="1" applyAlignment="1">
      <alignment horizontal="center" vertical="center"/>
    </xf>
    <xf numFmtId="185" fontId="12" fillId="2" borderId="1" xfId="16" applyNumberFormat="1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10" fontId="0" fillId="0" borderId="1" xfId="16" applyNumberFormat="1" applyFont="1" applyBorder="1" applyAlignment="1">
      <alignment horizontal="center" vertical="center"/>
    </xf>
    <xf numFmtId="0" fontId="29" fillId="0" borderId="1" xfId="0" applyFont="1" applyBorder="1" applyAlignment="1">
      <alignment horizontal="center" vertical="center" wrapText="1"/>
    </xf>
    <xf numFmtId="10" fontId="52" fillId="0" borderId="1" xfId="16" applyNumberFormat="1" applyFont="1" applyBorder="1" applyAlignment="1">
      <alignment horizontal="center" vertical="center"/>
    </xf>
    <xf numFmtId="10" fontId="52" fillId="0" borderId="0" xfId="16" applyNumberFormat="1" applyFont="1" applyBorder="1" applyAlignment="1">
      <alignment horizontal="center" vertical="center"/>
    </xf>
    <xf numFmtId="0" fontId="11" fillId="0" borderId="0" xfId="0" applyFont="1" applyAlignment="1">
      <alignment horizontal="center"/>
    </xf>
    <xf numFmtId="0" fontId="11" fillId="0" borderId="0" xfId="0" applyFont="1" applyAlignment="1"/>
    <xf numFmtId="0" fontId="111" fillId="6" borderId="1" xfId="243" applyFont="1" applyFill="1" applyBorder="1" applyAlignment="1">
      <alignment horizontal="left" vertical="center" wrapText="1"/>
    </xf>
    <xf numFmtId="0" fontId="0" fillId="0" borderId="1" xfId="0" applyBorder="1" applyAlignment="1" applyProtection="1">
      <alignment horizontal="center" vertical="center"/>
      <protection locked="0"/>
    </xf>
    <xf numFmtId="0" fontId="0" fillId="0" borderId="1" xfId="0" applyBorder="1" applyAlignment="1">
      <alignment horizontal="left" vertical="center"/>
    </xf>
    <xf numFmtId="0" fontId="30" fillId="6" borderId="1" xfId="0" applyFont="1" applyFill="1" applyBorder="1" applyAlignment="1" applyProtection="1">
      <alignment horizontal="center" vertical="center" wrapText="1"/>
    </xf>
    <xf numFmtId="0" fontId="30" fillId="0" borderId="1" xfId="0" applyFont="1" applyBorder="1" applyAlignment="1" applyProtection="1">
      <alignment horizontal="center" vertical="center"/>
      <protection locked="0"/>
    </xf>
    <xf numFmtId="2" fontId="30" fillId="6" borderId="1" xfId="0" applyNumberFormat="1" applyFont="1" applyFill="1" applyBorder="1" applyAlignment="1" applyProtection="1">
      <alignment horizontal="center" vertical="center"/>
    </xf>
    <xf numFmtId="0" fontId="0" fillId="0" borderId="2" xfId="0" applyBorder="1" applyAlignment="1">
      <alignment horizontal="left" vertical="center"/>
    </xf>
    <xf numFmtId="0" fontId="31" fillId="0" borderId="1" xfId="0" applyFont="1" applyBorder="1" applyAlignment="1" applyProtection="1">
      <alignment horizontal="center" vertical="center"/>
      <protection locked="0"/>
    </xf>
    <xf numFmtId="0" fontId="29" fillId="0" borderId="1" xfId="0" applyFont="1" applyBorder="1" applyAlignment="1">
      <alignment horizontal="left" vertical="center"/>
    </xf>
    <xf numFmtId="176" fontId="30" fillId="6" borderId="1" xfId="0" applyNumberFormat="1" applyFont="1" applyFill="1" applyBorder="1" applyAlignment="1" applyProtection="1">
      <alignment horizontal="center" vertical="center"/>
    </xf>
    <xf numFmtId="0" fontId="74" fillId="22" borderId="1" xfId="0" applyFont="1" applyFill="1" applyBorder="1" applyAlignment="1">
      <alignment horizontal="left" vertical="center"/>
    </xf>
    <xf numFmtId="0" fontId="29" fillId="0" borderId="0" xfId="0" applyFont="1" applyFill="1" applyBorder="1">
      <alignment vertical="center"/>
    </xf>
    <xf numFmtId="0" fontId="24" fillId="0" borderId="0" xfId="0" applyFont="1">
      <alignment vertical="center"/>
    </xf>
    <xf numFmtId="0" fontId="24" fillId="0" borderId="0" xfId="197" applyFont="1">
      <alignment vertical="center"/>
    </xf>
    <xf numFmtId="0" fontId="27" fillId="0" borderId="0" xfId="197" applyFont="1">
      <alignment vertical="center"/>
    </xf>
    <xf numFmtId="0" fontId="139" fillId="0" borderId="0" xfId="0" applyFont="1">
      <alignment vertical="center"/>
    </xf>
    <xf numFmtId="0" fontId="27" fillId="0" borderId="0" xfId="0" applyFont="1">
      <alignment vertical="center"/>
    </xf>
    <xf numFmtId="0" fontId="24" fillId="70" borderId="1" xfId="0" applyFont="1" applyFill="1" applyBorder="1" applyAlignment="1">
      <alignment horizontal="center" vertical="center"/>
    </xf>
    <xf numFmtId="0" fontId="27" fillId="70" borderId="1" xfId="0" applyFont="1" applyFill="1" applyBorder="1" applyAlignment="1">
      <alignment horizontal="center" vertical="center"/>
    </xf>
    <xf numFmtId="0" fontId="140" fillId="71" borderId="1" xfId="0" applyFont="1" applyFill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27" fillId="0" borderId="1" xfId="0" applyFont="1" applyBorder="1" applyAlignment="1">
      <alignment horizontal="center" vertical="center"/>
    </xf>
    <xf numFmtId="14" fontId="24" fillId="0" borderId="1" xfId="0" applyNumberFormat="1" applyFont="1" applyBorder="1" applyAlignment="1">
      <alignment horizontal="center" vertical="center"/>
    </xf>
    <xf numFmtId="191" fontId="141" fillId="70" borderId="178" xfId="0" applyNumberFormat="1" applyFont="1" applyFill="1" applyBorder="1" applyAlignment="1">
      <alignment horizontal="center" vertical="center"/>
    </xf>
    <xf numFmtId="0" fontId="142" fillId="70" borderId="1" xfId="0" applyFont="1" applyFill="1" applyBorder="1" applyAlignment="1">
      <alignment horizontal="center" vertical="center"/>
    </xf>
    <xf numFmtId="191" fontId="141" fillId="70" borderId="179" xfId="0" applyNumberFormat="1" applyFont="1" applyFill="1" applyBorder="1" applyAlignment="1">
      <alignment horizontal="center" vertical="center" wrapText="1"/>
    </xf>
    <xf numFmtId="191" fontId="141" fillId="70" borderId="178" xfId="0" applyNumberFormat="1" applyFont="1" applyFill="1" applyBorder="1" applyAlignment="1">
      <alignment horizontal="center" vertical="center" wrapText="1"/>
    </xf>
    <xf numFmtId="191" fontId="141" fillId="70" borderId="1" xfId="0" applyNumberFormat="1" applyFont="1" applyFill="1" applyBorder="1" applyAlignment="1">
      <alignment horizontal="center" vertical="center" wrapText="1"/>
    </xf>
    <xf numFmtId="0" fontId="138" fillId="2" borderId="1" xfId="0" applyFont="1" applyFill="1" applyBorder="1" applyAlignment="1">
      <alignment horizontal="center" vertical="center"/>
    </xf>
    <xf numFmtId="0" fontId="140" fillId="2" borderId="1" xfId="0" applyFont="1" applyFill="1" applyBorder="1" applyAlignment="1">
      <alignment horizontal="center" vertical="center"/>
    </xf>
    <xf numFmtId="0" fontId="143" fillId="2" borderId="1" xfId="0" applyFont="1" applyFill="1" applyBorder="1" applyAlignment="1">
      <alignment horizontal="center" vertical="center"/>
    </xf>
    <xf numFmtId="0" fontId="143" fillId="2" borderId="1" xfId="0" applyFont="1" applyFill="1" applyBorder="1" applyAlignment="1">
      <alignment horizontal="center" vertical="center" wrapText="1"/>
    </xf>
    <xf numFmtId="189" fontId="140" fillId="2" borderId="1" xfId="0" applyNumberFormat="1" applyFont="1" applyFill="1" applyBorder="1" applyAlignment="1">
      <alignment horizontal="center" vertical="center"/>
    </xf>
    <xf numFmtId="189" fontId="144" fillId="2" borderId="1" xfId="0" applyNumberFormat="1" applyFont="1" applyFill="1" applyBorder="1" applyAlignment="1">
      <alignment horizontal="center" vertical="center"/>
    </xf>
    <xf numFmtId="0" fontId="144" fillId="12" borderId="1" xfId="0" applyFont="1" applyFill="1" applyBorder="1" applyAlignment="1">
      <alignment horizontal="center" vertical="center"/>
    </xf>
    <xf numFmtId="0" fontId="108" fillId="12" borderId="1" xfId="0" applyFont="1" applyFill="1" applyBorder="1" applyAlignment="1">
      <alignment horizontal="center" vertical="center"/>
    </xf>
    <xf numFmtId="0" fontId="145" fillId="12" borderId="1" xfId="0" applyFont="1" applyFill="1" applyBorder="1" applyAlignment="1">
      <alignment horizontal="center" vertical="center"/>
    </xf>
    <xf numFmtId="0" fontId="108" fillId="12" borderId="1" xfId="0" applyFont="1" applyFill="1" applyBorder="1" applyAlignment="1">
      <alignment horizontal="center" vertical="center" wrapText="1"/>
    </xf>
    <xf numFmtId="189" fontId="144" fillId="12" borderId="1" xfId="0" applyNumberFormat="1" applyFont="1" applyFill="1" applyBorder="1" applyAlignment="1">
      <alignment horizontal="center" vertical="center"/>
    </xf>
    <xf numFmtId="0" fontId="138" fillId="12" borderId="1" xfId="0" applyFont="1" applyFill="1" applyBorder="1" applyAlignment="1">
      <alignment horizontal="center" vertical="center"/>
    </xf>
    <xf numFmtId="0" fontId="140" fillId="12" borderId="1" xfId="0" applyFont="1" applyFill="1" applyBorder="1" applyAlignment="1">
      <alignment horizontal="center" vertical="center"/>
    </xf>
    <xf numFmtId="0" fontId="143" fillId="12" borderId="1" xfId="0" applyFont="1" applyFill="1" applyBorder="1" applyAlignment="1">
      <alignment horizontal="center" vertical="center"/>
    </xf>
    <xf numFmtId="0" fontId="140" fillId="12" borderId="1" xfId="0" applyFont="1" applyFill="1" applyBorder="1" applyAlignment="1">
      <alignment horizontal="center" vertical="center" wrapText="1"/>
    </xf>
    <xf numFmtId="189" fontId="140" fillId="12" borderId="1" xfId="0" applyNumberFormat="1" applyFont="1" applyFill="1" applyBorder="1" applyAlignment="1">
      <alignment horizontal="center" vertical="center"/>
    </xf>
    <xf numFmtId="0" fontId="144" fillId="72" borderId="1" xfId="0" applyFont="1" applyFill="1" applyBorder="1" applyAlignment="1">
      <alignment horizontal="center" vertical="center"/>
    </xf>
    <xf numFmtId="0" fontId="108" fillId="72" borderId="1" xfId="0" applyFont="1" applyFill="1" applyBorder="1" applyAlignment="1">
      <alignment horizontal="center" vertical="center"/>
    </xf>
    <xf numFmtId="0" fontId="145" fillId="72" borderId="1" xfId="0" applyFont="1" applyFill="1" applyBorder="1" applyAlignment="1">
      <alignment horizontal="center" vertical="center"/>
    </xf>
    <xf numFmtId="0" fontId="108" fillId="72" borderId="1" xfId="0" applyFont="1" applyFill="1" applyBorder="1" applyAlignment="1">
      <alignment horizontal="center" vertical="center" wrapText="1"/>
    </xf>
    <xf numFmtId="189" fontId="144" fillId="72" borderId="1" xfId="0" applyNumberFormat="1" applyFont="1" applyFill="1" applyBorder="1" applyAlignment="1">
      <alignment horizontal="center" vertical="center"/>
    </xf>
    <xf numFmtId="0" fontId="138" fillId="72" borderId="1" xfId="0" applyFont="1" applyFill="1" applyBorder="1" applyAlignment="1">
      <alignment horizontal="center" vertical="center"/>
    </xf>
    <xf numFmtId="0" fontId="140" fillId="72" borderId="1" xfId="0" applyFont="1" applyFill="1" applyBorder="1" applyAlignment="1">
      <alignment horizontal="center" vertical="center"/>
    </xf>
    <xf numFmtId="0" fontId="143" fillId="72" borderId="1" xfId="0" applyFont="1" applyFill="1" applyBorder="1" applyAlignment="1">
      <alignment horizontal="center" vertical="center"/>
    </xf>
    <xf numFmtId="0" fontId="140" fillId="72" borderId="1" xfId="0" applyFont="1" applyFill="1" applyBorder="1" applyAlignment="1">
      <alignment horizontal="center" vertical="center" wrapText="1"/>
    </xf>
    <xf numFmtId="189" fontId="140" fillId="72" borderId="1" xfId="0" applyNumberFormat="1" applyFont="1" applyFill="1" applyBorder="1" applyAlignment="1">
      <alignment horizontal="center" vertical="center"/>
    </xf>
    <xf numFmtId="0" fontId="144" fillId="73" borderId="1" xfId="0" applyFont="1" applyFill="1" applyBorder="1" applyAlignment="1">
      <alignment horizontal="center" vertical="center"/>
    </xf>
    <xf numFmtId="0" fontId="145" fillId="73" borderId="1" xfId="0" applyFont="1" applyFill="1" applyBorder="1" applyAlignment="1">
      <alignment horizontal="center" vertical="center"/>
    </xf>
    <xf numFmtId="0" fontId="108" fillId="73" borderId="1" xfId="0" applyFont="1" applyFill="1" applyBorder="1" applyAlignment="1">
      <alignment horizontal="center" vertical="center"/>
    </xf>
    <xf numFmtId="0" fontId="108" fillId="73" borderId="1" xfId="0" applyFont="1" applyFill="1" applyBorder="1" applyAlignment="1">
      <alignment horizontal="center" vertical="center" wrapText="1"/>
    </xf>
    <xf numFmtId="189" fontId="144" fillId="73" borderId="1" xfId="0" applyNumberFormat="1" applyFont="1" applyFill="1" applyBorder="1" applyAlignment="1">
      <alignment horizontal="center" vertical="center"/>
    </xf>
    <xf numFmtId="0" fontId="138" fillId="73" borderId="1" xfId="0" applyFont="1" applyFill="1" applyBorder="1" applyAlignment="1">
      <alignment horizontal="center" vertical="center"/>
    </xf>
    <xf numFmtId="0" fontId="143" fillId="73" borderId="1" xfId="0" applyFont="1" applyFill="1" applyBorder="1" applyAlignment="1">
      <alignment horizontal="center" vertical="center"/>
    </xf>
    <xf numFmtId="0" fontId="140" fillId="73" borderId="1" xfId="0" applyFont="1" applyFill="1" applyBorder="1" applyAlignment="1">
      <alignment horizontal="center" vertical="center"/>
    </xf>
    <xf numFmtId="0" fontId="140" fillId="73" borderId="1" xfId="0" applyFont="1" applyFill="1" applyBorder="1" applyAlignment="1">
      <alignment horizontal="center" vertical="center" wrapText="1"/>
    </xf>
    <xf numFmtId="189" fontId="140" fillId="73" borderId="1" xfId="0" applyNumberFormat="1" applyFont="1" applyFill="1" applyBorder="1" applyAlignment="1">
      <alignment horizontal="center" vertical="center"/>
    </xf>
    <xf numFmtId="192" fontId="24" fillId="0" borderId="1" xfId="0" applyNumberFormat="1" applyFont="1" applyBorder="1" applyAlignment="1">
      <alignment horizontal="center" vertical="center"/>
    </xf>
    <xf numFmtId="9" fontId="24" fillId="0" borderId="1" xfId="16" applyFont="1" applyBorder="1" applyAlignment="1">
      <alignment horizontal="center" vertical="center"/>
    </xf>
    <xf numFmtId="0" fontId="139" fillId="30" borderId="0" xfId="0" applyFont="1" applyFill="1">
      <alignment vertical="center"/>
    </xf>
    <xf numFmtId="0" fontId="140" fillId="2" borderId="1" xfId="0" applyFont="1" applyFill="1" applyBorder="1" applyAlignment="1">
      <alignment horizontal="center" vertical="center" wrapText="1"/>
    </xf>
    <xf numFmtId="189" fontId="27" fillId="2" borderId="1" xfId="0" applyNumberFormat="1" applyFont="1" applyFill="1" applyBorder="1" applyAlignment="1">
      <alignment horizontal="center" vertical="center"/>
    </xf>
    <xf numFmtId="0" fontId="24" fillId="30" borderId="1" xfId="0" applyFont="1" applyFill="1" applyBorder="1">
      <alignment vertical="center"/>
    </xf>
    <xf numFmtId="0" fontId="142" fillId="12" borderId="1" xfId="0" applyFont="1" applyFill="1" applyBorder="1" applyAlignment="1">
      <alignment horizontal="center" vertical="center"/>
    </xf>
    <xf numFmtId="189" fontId="141" fillId="12" borderId="1" xfId="0" applyNumberFormat="1" applyFont="1" applyFill="1" applyBorder="1" applyAlignment="1">
      <alignment horizontal="center" vertical="center"/>
    </xf>
    <xf numFmtId="0" fontId="24" fillId="12" borderId="1" xfId="0" applyFont="1" applyFill="1" applyBorder="1" applyAlignment="1">
      <alignment horizontal="center" vertical="center"/>
    </xf>
    <xf numFmtId="189" fontId="27" fillId="12" borderId="1" xfId="0" applyNumberFormat="1" applyFont="1" applyFill="1" applyBorder="1" applyAlignment="1">
      <alignment horizontal="center" vertical="center"/>
    </xf>
    <xf numFmtId="0" fontId="142" fillId="72" borderId="1" xfId="0" applyFont="1" applyFill="1" applyBorder="1" applyAlignment="1">
      <alignment horizontal="center" vertical="center"/>
    </xf>
    <xf numFmtId="189" fontId="141" fillId="72" borderId="1" xfId="0" applyNumberFormat="1" applyFont="1" applyFill="1" applyBorder="1" applyAlignment="1">
      <alignment horizontal="center" vertical="center"/>
    </xf>
    <xf numFmtId="0" fontId="24" fillId="72" borderId="1" xfId="0" applyFont="1" applyFill="1" applyBorder="1" applyAlignment="1">
      <alignment horizontal="center" vertical="center"/>
    </xf>
    <xf numFmtId="189" fontId="27" fillId="72" borderId="1" xfId="0" applyNumberFormat="1" applyFont="1" applyFill="1" applyBorder="1" applyAlignment="1">
      <alignment horizontal="center" vertical="center"/>
    </xf>
    <xf numFmtId="0" fontId="142" fillId="73" borderId="1" xfId="0" applyFont="1" applyFill="1" applyBorder="1" applyAlignment="1">
      <alignment horizontal="center" vertical="center"/>
    </xf>
    <xf numFmtId="189" fontId="141" fillId="73" borderId="1" xfId="0" applyNumberFormat="1" applyFont="1" applyFill="1" applyBorder="1" applyAlignment="1">
      <alignment horizontal="center" vertical="center"/>
    </xf>
    <xf numFmtId="0" fontId="24" fillId="73" borderId="1" xfId="0" applyFont="1" applyFill="1" applyBorder="1" applyAlignment="1">
      <alignment horizontal="center" vertical="center"/>
    </xf>
    <xf numFmtId="189" fontId="27" fillId="73" borderId="1" xfId="0" applyNumberFormat="1" applyFont="1" applyFill="1" applyBorder="1" applyAlignment="1">
      <alignment horizontal="center" vertical="center"/>
    </xf>
    <xf numFmtId="0" fontId="144" fillId="74" borderId="1" xfId="0" applyFont="1" applyFill="1" applyBorder="1" applyAlignment="1">
      <alignment horizontal="center" vertical="center"/>
    </xf>
    <xf numFmtId="0" fontId="108" fillId="74" borderId="1" xfId="0" applyFont="1" applyFill="1" applyBorder="1" applyAlignment="1">
      <alignment horizontal="center" vertical="center"/>
    </xf>
    <xf numFmtId="0" fontId="145" fillId="74" borderId="1" xfId="0" applyFont="1" applyFill="1" applyBorder="1" applyAlignment="1">
      <alignment horizontal="center" vertical="center"/>
    </xf>
    <xf numFmtId="0" fontId="108" fillId="74" borderId="1" xfId="0" applyFont="1" applyFill="1" applyBorder="1" applyAlignment="1">
      <alignment horizontal="center" vertical="center" wrapText="1"/>
    </xf>
    <xf numFmtId="189" fontId="144" fillId="74" borderId="1" xfId="0" applyNumberFormat="1" applyFont="1" applyFill="1" applyBorder="1" applyAlignment="1">
      <alignment horizontal="center" vertical="center"/>
    </xf>
    <xf numFmtId="0" fontId="138" fillId="74" borderId="1" xfId="0" applyFont="1" applyFill="1" applyBorder="1" applyAlignment="1">
      <alignment horizontal="center" vertical="center"/>
    </xf>
    <xf numFmtId="0" fontId="140" fillId="74" borderId="1" xfId="0" applyFont="1" applyFill="1" applyBorder="1" applyAlignment="1">
      <alignment horizontal="center" vertical="center"/>
    </xf>
    <xf numFmtId="0" fontId="143" fillId="74" borderId="1" xfId="0" applyFont="1" applyFill="1" applyBorder="1" applyAlignment="1">
      <alignment horizontal="center" vertical="center" wrapText="1"/>
    </xf>
    <xf numFmtId="0" fontId="143" fillId="74" borderId="1" xfId="0" applyFont="1" applyFill="1" applyBorder="1" applyAlignment="1">
      <alignment horizontal="center" vertical="center"/>
    </xf>
    <xf numFmtId="0" fontId="140" fillId="74" borderId="1" xfId="0" applyFont="1" applyFill="1" applyBorder="1" applyAlignment="1">
      <alignment horizontal="center" vertical="center" wrapText="1"/>
    </xf>
    <xf numFmtId="189" fontId="140" fillId="74" borderId="1" xfId="0" applyNumberFormat="1" applyFont="1" applyFill="1" applyBorder="1" applyAlignment="1">
      <alignment horizontal="center" vertical="center"/>
    </xf>
    <xf numFmtId="0" fontId="138" fillId="71" borderId="1" xfId="0" applyFont="1" applyFill="1" applyBorder="1" applyAlignment="1">
      <alignment horizontal="center" vertical="center"/>
    </xf>
    <xf numFmtId="0" fontId="143" fillId="71" borderId="1" xfId="0" applyFont="1" applyFill="1" applyBorder="1" applyAlignment="1">
      <alignment horizontal="center" vertical="center"/>
    </xf>
    <xf numFmtId="0" fontId="140" fillId="71" borderId="1" xfId="0" applyFont="1" applyFill="1" applyBorder="1" applyAlignment="1">
      <alignment horizontal="center" vertical="center" wrapText="1"/>
    </xf>
    <xf numFmtId="192" fontId="140" fillId="71" borderId="1" xfId="0" applyNumberFormat="1" applyFont="1" applyFill="1" applyBorder="1" applyAlignment="1">
      <alignment horizontal="center" vertical="center"/>
    </xf>
    <xf numFmtId="0" fontId="138" fillId="65" borderId="1" xfId="0" applyFont="1" applyFill="1" applyBorder="1" applyAlignment="1">
      <alignment horizontal="center" vertical="center"/>
    </xf>
    <xf numFmtId="0" fontId="140" fillId="65" borderId="1" xfId="0" applyFont="1" applyFill="1" applyBorder="1" applyAlignment="1">
      <alignment horizontal="center" vertical="center"/>
    </xf>
    <xf numFmtId="0" fontId="143" fillId="65" borderId="1" xfId="0" applyFont="1" applyFill="1" applyBorder="1" applyAlignment="1">
      <alignment horizontal="center" vertical="center"/>
    </xf>
    <xf numFmtId="0" fontId="140" fillId="65" borderId="1" xfId="0" applyFont="1" applyFill="1" applyBorder="1" applyAlignment="1">
      <alignment horizontal="center" vertical="center" wrapText="1"/>
    </xf>
    <xf numFmtId="192" fontId="140" fillId="65" borderId="1" xfId="0" applyNumberFormat="1" applyFont="1" applyFill="1" applyBorder="1" applyAlignment="1">
      <alignment horizontal="center" vertical="center"/>
    </xf>
    <xf numFmtId="0" fontId="145" fillId="65" borderId="1" xfId="0" applyFont="1" applyFill="1" applyBorder="1" applyAlignment="1">
      <alignment horizontal="center" vertical="center" wrapText="1"/>
    </xf>
    <xf numFmtId="0" fontId="108" fillId="65" borderId="1" xfId="0" applyFont="1" applyFill="1" applyBorder="1" applyAlignment="1">
      <alignment horizontal="center" vertical="center"/>
    </xf>
    <xf numFmtId="0" fontId="108" fillId="65" borderId="1" xfId="0" applyFont="1" applyFill="1" applyBorder="1" applyAlignment="1">
      <alignment horizontal="center" vertical="center" wrapText="1"/>
    </xf>
    <xf numFmtId="192" fontId="108" fillId="65" borderId="1" xfId="0" applyNumberFormat="1" applyFont="1" applyFill="1" applyBorder="1" applyAlignment="1">
      <alignment horizontal="center" vertical="center"/>
    </xf>
    <xf numFmtId="0" fontId="142" fillId="74" borderId="1" xfId="0" applyFont="1" applyFill="1" applyBorder="1" applyAlignment="1">
      <alignment horizontal="center" vertical="center"/>
    </xf>
    <xf numFmtId="189" fontId="141" fillId="74" borderId="1" xfId="0" applyNumberFormat="1" applyFont="1" applyFill="1" applyBorder="1" applyAlignment="1">
      <alignment horizontal="center" vertical="center"/>
    </xf>
    <xf numFmtId="0" fontId="24" fillId="74" borderId="1" xfId="0" applyFont="1" applyFill="1" applyBorder="1" applyAlignment="1">
      <alignment horizontal="center" vertical="center"/>
    </xf>
    <xf numFmtId="189" fontId="27" fillId="74" borderId="1" xfId="0" applyNumberFormat="1" applyFont="1" applyFill="1" applyBorder="1" applyAlignment="1">
      <alignment horizontal="center" vertical="center"/>
    </xf>
    <xf numFmtId="0" fontId="24" fillId="71" borderId="1" xfId="0" applyFont="1" applyFill="1" applyBorder="1" applyAlignment="1">
      <alignment horizontal="center" vertical="center"/>
    </xf>
    <xf numFmtId="192" fontId="27" fillId="71" borderId="1" xfId="0" applyNumberFormat="1" applyFont="1" applyFill="1" applyBorder="1" applyAlignment="1">
      <alignment horizontal="center" vertical="center"/>
    </xf>
    <xf numFmtId="0" fontId="24" fillId="65" borderId="1" xfId="0" applyFont="1" applyFill="1" applyBorder="1" applyAlignment="1">
      <alignment horizontal="center" vertical="center"/>
    </xf>
    <xf numFmtId="192" fontId="27" fillId="65" borderId="1" xfId="0" applyNumberFormat="1" applyFont="1" applyFill="1" applyBorder="1" applyAlignment="1">
      <alignment horizontal="center" vertical="center"/>
    </xf>
    <xf numFmtId="0" fontId="142" fillId="65" borderId="1" xfId="0" applyFont="1" applyFill="1" applyBorder="1" applyAlignment="1">
      <alignment horizontal="center" vertical="center"/>
    </xf>
    <xf numFmtId="0" fontId="144" fillId="75" borderId="1" xfId="0" applyFont="1" applyFill="1" applyBorder="1" applyAlignment="1">
      <alignment horizontal="center" vertical="center"/>
    </xf>
    <xf numFmtId="0" fontId="108" fillId="75" borderId="1" xfId="0" applyFont="1" applyFill="1" applyBorder="1" applyAlignment="1">
      <alignment horizontal="center" vertical="center"/>
    </xf>
    <xf numFmtId="0" fontId="145" fillId="75" borderId="1" xfId="0" applyFont="1" applyFill="1" applyBorder="1" applyAlignment="1">
      <alignment horizontal="center" vertical="center" wrapText="1"/>
    </xf>
    <xf numFmtId="0" fontId="108" fillId="75" borderId="1" xfId="197" applyFont="1" applyFill="1" applyBorder="1" applyAlignment="1">
      <alignment horizontal="center" vertical="center" wrapText="1"/>
    </xf>
    <xf numFmtId="192" fontId="108" fillId="75" borderId="1" xfId="197" applyNumberFormat="1" applyFont="1" applyFill="1" applyBorder="1" applyAlignment="1">
      <alignment horizontal="center" vertical="center"/>
    </xf>
    <xf numFmtId="0" fontId="138" fillId="75" borderId="1" xfId="0" applyFont="1" applyFill="1" applyBorder="1" applyAlignment="1">
      <alignment horizontal="center" vertical="center"/>
    </xf>
    <xf numFmtId="0" fontId="140" fillId="75" borderId="1" xfId="0" applyFont="1" applyFill="1" applyBorder="1" applyAlignment="1">
      <alignment horizontal="center" vertical="center"/>
    </xf>
    <xf numFmtId="0" fontId="143" fillId="75" borderId="1" xfId="0" applyFont="1" applyFill="1" applyBorder="1" applyAlignment="1">
      <alignment horizontal="center" vertical="center"/>
    </xf>
    <xf numFmtId="0" fontId="140" fillId="75" borderId="1" xfId="197" applyFont="1" applyFill="1" applyBorder="1" applyAlignment="1">
      <alignment horizontal="center" vertical="center" wrapText="1"/>
    </xf>
    <xf numFmtId="192" fontId="140" fillId="75" borderId="1" xfId="197" applyNumberFormat="1" applyFont="1" applyFill="1" applyBorder="1" applyAlignment="1">
      <alignment horizontal="center" vertical="center"/>
    </xf>
    <xf numFmtId="0" fontId="140" fillId="75" borderId="1" xfId="197" applyFont="1" applyFill="1" applyBorder="1" applyAlignment="1">
      <alignment horizontal="center" vertical="center"/>
    </xf>
    <xf numFmtId="0" fontId="142" fillId="75" borderId="1" xfId="197" applyFont="1" applyFill="1" applyBorder="1" applyAlignment="1">
      <alignment horizontal="center" vertical="center"/>
    </xf>
    <xf numFmtId="192" fontId="141" fillId="75" borderId="1" xfId="197" applyNumberFormat="1" applyFont="1" applyFill="1" applyBorder="1" applyAlignment="1">
      <alignment horizontal="center" vertical="center"/>
    </xf>
    <xf numFmtId="0" fontId="24" fillId="75" borderId="1" xfId="197" applyFont="1" applyFill="1" applyBorder="1" applyAlignment="1">
      <alignment horizontal="center" vertical="center"/>
    </xf>
    <xf numFmtId="192" fontId="27" fillId="75" borderId="1" xfId="197" applyNumberFormat="1" applyFont="1" applyFill="1" applyBorder="1" applyAlignment="1">
      <alignment horizontal="center" vertical="center"/>
    </xf>
    <xf numFmtId="0" fontId="139" fillId="0" borderId="0" xfId="197" applyFont="1">
      <alignment vertical="center"/>
    </xf>
    <xf numFmtId="0" fontId="24" fillId="70" borderId="1" xfId="197" applyFont="1" applyFill="1" applyBorder="1" applyAlignment="1">
      <alignment horizontal="center" vertical="center"/>
    </xf>
    <xf numFmtId="0" fontId="27" fillId="70" borderId="1" xfId="197" applyFont="1" applyFill="1" applyBorder="1" applyAlignment="1">
      <alignment horizontal="center" vertical="center"/>
    </xf>
    <xf numFmtId="0" fontId="140" fillId="71" borderId="1" xfId="197" applyFont="1" applyFill="1" applyBorder="1" applyAlignment="1">
      <alignment horizontal="center" vertical="center"/>
    </xf>
    <xf numFmtId="0" fontId="24" fillId="0" borderId="1" xfId="197" applyFont="1" applyBorder="1" applyAlignment="1">
      <alignment horizontal="center" vertical="center"/>
    </xf>
    <xf numFmtId="0" fontId="27" fillId="0" borderId="1" xfId="197" applyFont="1" applyBorder="1" applyAlignment="1">
      <alignment horizontal="center" vertical="center"/>
    </xf>
    <xf numFmtId="14" fontId="24" fillId="0" borderId="1" xfId="197" applyNumberFormat="1" applyFont="1" applyBorder="1" applyAlignment="1">
      <alignment horizontal="center" vertical="center"/>
    </xf>
    <xf numFmtId="191" fontId="141" fillId="70" borderId="178" xfId="197" applyNumberFormat="1" applyFont="1" applyFill="1" applyBorder="1" applyAlignment="1">
      <alignment horizontal="center" vertical="center"/>
    </xf>
    <xf numFmtId="0" fontId="142" fillId="70" borderId="1" xfId="197" applyFont="1" applyFill="1" applyBorder="1" applyAlignment="1">
      <alignment horizontal="center" vertical="center"/>
    </xf>
    <xf numFmtId="191" fontId="141" fillId="70" borderId="179" xfId="197" applyNumberFormat="1" applyFont="1" applyFill="1" applyBorder="1" applyAlignment="1">
      <alignment horizontal="center" vertical="center" wrapText="1"/>
    </xf>
    <xf numFmtId="191" fontId="141" fillId="70" borderId="178" xfId="197" applyNumberFormat="1" applyFont="1" applyFill="1" applyBorder="1" applyAlignment="1">
      <alignment horizontal="center" vertical="center" wrapText="1"/>
    </xf>
    <xf numFmtId="191" fontId="141" fillId="70" borderId="1" xfId="197" applyNumberFormat="1" applyFont="1" applyFill="1" applyBorder="1" applyAlignment="1">
      <alignment horizontal="center" vertical="center" wrapText="1"/>
    </xf>
    <xf numFmtId="0" fontId="138" fillId="2" borderId="1" xfId="197" applyFont="1" applyFill="1" applyBorder="1" applyAlignment="1">
      <alignment horizontal="center" vertical="center"/>
    </xf>
    <xf numFmtId="0" fontId="140" fillId="2" borderId="1" xfId="197" applyFont="1" applyFill="1" applyBorder="1" applyAlignment="1">
      <alignment horizontal="center" vertical="center"/>
    </xf>
    <xf numFmtId="0" fontId="143" fillId="2" borderId="1" xfId="197" applyFont="1" applyFill="1" applyBorder="1" applyAlignment="1">
      <alignment horizontal="center" vertical="center"/>
    </xf>
    <xf numFmtId="0" fontId="143" fillId="2" borderId="1" xfId="197" applyFont="1" applyFill="1" applyBorder="1" applyAlignment="1">
      <alignment horizontal="center" vertical="center" wrapText="1"/>
    </xf>
    <xf numFmtId="189" fontId="140" fillId="2" borderId="1" xfId="197" applyNumberFormat="1" applyFont="1" applyFill="1" applyBorder="1" applyAlignment="1">
      <alignment horizontal="center" vertical="center"/>
    </xf>
    <xf numFmtId="189" fontId="144" fillId="2" borderId="1" xfId="197" applyNumberFormat="1" applyFont="1" applyFill="1" applyBorder="1" applyAlignment="1">
      <alignment horizontal="center" vertical="center"/>
    </xf>
    <xf numFmtId="0" fontId="144" fillId="12" borderId="1" xfId="197" applyFont="1" applyFill="1" applyBorder="1" applyAlignment="1">
      <alignment horizontal="center" vertical="center"/>
    </xf>
    <xf numFmtId="0" fontId="108" fillId="12" borderId="1" xfId="197" applyFont="1" applyFill="1" applyBorder="1" applyAlignment="1">
      <alignment horizontal="center" vertical="center"/>
    </xf>
    <xf numFmtId="0" fontId="145" fillId="12" borderId="1" xfId="197" applyFont="1" applyFill="1" applyBorder="1" applyAlignment="1">
      <alignment horizontal="center" vertical="center"/>
    </xf>
    <xf numFmtId="0" fontId="108" fillId="12" borderId="1" xfId="197" applyFont="1" applyFill="1" applyBorder="1" applyAlignment="1">
      <alignment horizontal="center" vertical="center" wrapText="1"/>
    </xf>
    <xf numFmtId="189" fontId="144" fillId="12" borderId="1" xfId="197" applyNumberFormat="1" applyFont="1" applyFill="1" applyBorder="1" applyAlignment="1">
      <alignment horizontal="center" vertical="center"/>
    </xf>
    <xf numFmtId="0" fontId="138" fillId="12" borderId="1" xfId="197" applyFont="1" applyFill="1" applyBorder="1" applyAlignment="1">
      <alignment horizontal="center" vertical="center"/>
    </xf>
    <xf numFmtId="0" fontId="140" fillId="12" borderId="1" xfId="197" applyFont="1" applyFill="1" applyBorder="1" applyAlignment="1">
      <alignment horizontal="center" vertical="center"/>
    </xf>
    <xf numFmtId="0" fontId="143" fillId="12" borderId="1" xfId="197" applyFont="1" applyFill="1" applyBorder="1" applyAlignment="1">
      <alignment horizontal="center" vertical="center"/>
    </xf>
    <xf numFmtId="0" fontId="140" fillId="12" borderId="1" xfId="197" applyFont="1" applyFill="1" applyBorder="1" applyAlignment="1">
      <alignment horizontal="center" vertical="center" wrapText="1"/>
    </xf>
    <xf numFmtId="189" fontId="140" fillId="12" borderId="1" xfId="197" applyNumberFormat="1" applyFont="1" applyFill="1" applyBorder="1" applyAlignment="1">
      <alignment horizontal="center" vertical="center"/>
    </xf>
    <xf numFmtId="0" fontId="144" fillId="72" borderId="1" xfId="197" applyFont="1" applyFill="1" applyBorder="1" applyAlignment="1">
      <alignment horizontal="center" vertical="center"/>
    </xf>
    <xf numFmtId="0" fontId="108" fillId="72" borderId="1" xfId="197" applyFont="1" applyFill="1" applyBorder="1" applyAlignment="1">
      <alignment horizontal="center" vertical="center"/>
    </xf>
    <xf numFmtId="0" fontId="145" fillId="72" borderId="1" xfId="197" applyFont="1" applyFill="1" applyBorder="1" applyAlignment="1">
      <alignment horizontal="center" vertical="center"/>
    </xf>
    <xf numFmtId="0" fontId="108" fillId="72" borderId="1" xfId="197" applyFont="1" applyFill="1" applyBorder="1" applyAlignment="1">
      <alignment horizontal="center" vertical="center" wrapText="1"/>
    </xf>
    <xf numFmtId="189" fontId="144" fillId="72" borderId="1" xfId="197" applyNumberFormat="1" applyFont="1" applyFill="1" applyBorder="1" applyAlignment="1">
      <alignment horizontal="center" vertical="center"/>
    </xf>
    <xf numFmtId="0" fontId="138" fillId="72" borderId="1" xfId="197" applyFont="1" applyFill="1" applyBorder="1" applyAlignment="1">
      <alignment horizontal="center" vertical="center"/>
    </xf>
    <xf numFmtId="0" fontId="140" fillId="72" borderId="1" xfId="197" applyFont="1" applyFill="1" applyBorder="1" applyAlignment="1">
      <alignment horizontal="center" vertical="center"/>
    </xf>
    <xf numFmtId="0" fontId="143" fillId="72" borderId="1" xfId="197" applyFont="1" applyFill="1" applyBorder="1" applyAlignment="1">
      <alignment horizontal="center" vertical="center"/>
    </xf>
    <xf numFmtId="0" fontId="140" fillId="72" borderId="1" xfId="197" applyFont="1" applyFill="1" applyBorder="1" applyAlignment="1">
      <alignment horizontal="center" vertical="center" wrapText="1"/>
    </xf>
    <xf numFmtId="189" fontId="140" fillId="72" borderId="1" xfId="197" applyNumberFormat="1" applyFont="1" applyFill="1" applyBorder="1" applyAlignment="1">
      <alignment horizontal="center" vertical="center"/>
    </xf>
    <xf numFmtId="0" fontId="144" fillId="73" borderId="1" xfId="197" applyFont="1" applyFill="1" applyBorder="1" applyAlignment="1">
      <alignment horizontal="center" vertical="center"/>
    </xf>
    <xf numFmtId="0" fontId="145" fillId="73" borderId="1" xfId="197" applyFont="1" applyFill="1" applyBorder="1" applyAlignment="1">
      <alignment horizontal="center" vertical="center"/>
    </xf>
    <xf numFmtId="0" fontId="108" fillId="73" borderId="1" xfId="197" applyFont="1" applyFill="1" applyBorder="1" applyAlignment="1">
      <alignment horizontal="center" vertical="center"/>
    </xf>
    <xf numFmtId="0" fontId="108" fillId="73" borderId="1" xfId="197" applyFont="1" applyFill="1" applyBorder="1" applyAlignment="1">
      <alignment horizontal="center" vertical="center" wrapText="1"/>
    </xf>
    <xf numFmtId="189" fontId="144" fillId="73" borderId="1" xfId="197" applyNumberFormat="1" applyFont="1" applyFill="1" applyBorder="1" applyAlignment="1">
      <alignment horizontal="center" vertical="center"/>
    </xf>
    <xf numFmtId="0" fontId="138" fillId="73" borderId="1" xfId="197" applyFont="1" applyFill="1" applyBorder="1" applyAlignment="1">
      <alignment horizontal="center" vertical="center"/>
    </xf>
    <xf numFmtId="0" fontId="143" fillId="73" borderId="1" xfId="197" applyFont="1" applyFill="1" applyBorder="1" applyAlignment="1">
      <alignment horizontal="center" vertical="center"/>
    </xf>
    <xf numFmtId="0" fontId="140" fillId="73" borderId="1" xfId="197" applyFont="1" applyFill="1" applyBorder="1" applyAlignment="1">
      <alignment horizontal="center" vertical="center"/>
    </xf>
    <xf numFmtId="0" fontId="140" fillId="73" borderId="1" xfId="197" applyFont="1" applyFill="1" applyBorder="1" applyAlignment="1">
      <alignment horizontal="center" vertical="center" wrapText="1"/>
    </xf>
    <xf numFmtId="189" fontId="140" fillId="73" borderId="1" xfId="197" applyNumberFormat="1" applyFont="1" applyFill="1" applyBorder="1" applyAlignment="1">
      <alignment horizontal="center" vertical="center"/>
    </xf>
    <xf numFmtId="192" fontId="24" fillId="0" borderId="1" xfId="197" applyNumberFormat="1" applyFont="1" applyBorder="1" applyAlignment="1">
      <alignment horizontal="center" vertical="center"/>
    </xf>
    <xf numFmtId="9" fontId="24" fillId="0" borderId="1" xfId="28" applyFont="1" applyBorder="1" applyAlignment="1">
      <alignment horizontal="center" vertical="center"/>
    </xf>
    <xf numFmtId="0" fontId="139" fillId="30" borderId="0" xfId="197" applyFont="1" applyFill="1">
      <alignment vertical="center"/>
    </xf>
    <xf numFmtId="0" fontId="140" fillId="2" borderId="1" xfId="197" applyFont="1" applyFill="1" applyBorder="1" applyAlignment="1">
      <alignment horizontal="center" vertical="center" wrapText="1"/>
    </xf>
    <xf numFmtId="0" fontId="24" fillId="2" borderId="1" xfId="197" applyFont="1" applyFill="1" applyBorder="1" applyAlignment="1">
      <alignment horizontal="center" vertical="center"/>
    </xf>
    <xf numFmtId="189" fontId="27" fillId="2" borderId="1" xfId="197" applyNumberFormat="1" applyFont="1" applyFill="1" applyBorder="1" applyAlignment="1">
      <alignment horizontal="center" vertical="center"/>
    </xf>
    <xf numFmtId="0" fontId="24" fillId="30" borderId="1" xfId="197" applyFont="1" applyFill="1" applyBorder="1">
      <alignment vertical="center"/>
    </xf>
    <xf numFmtId="0" fontId="142" fillId="12" borderId="1" xfId="197" applyFont="1" applyFill="1" applyBorder="1" applyAlignment="1">
      <alignment horizontal="center" vertical="center"/>
    </xf>
    <xf numFmtId="189" fontId="141" fillId="12" borderId="1" xfId="197" applyNumberFormat="1" applyFont="1" applyFill="1" applyBorder="1" applyAlignment="1">
      <alignment horizontal="center" vertical="center"/>
    </xf>
    <xf numFmtId="0" fontId="24" fillId="12" borderId="1" xfId="197" applyFont="1" applyFill="1" applyBorder="1" applyAlignment="1">
      <alignment horizontal="center" vertical="center"/>
    </xf>
    <xf numFmtId="189" fontId="27" fillId="12" borderId="1" xfId="197" applyNumberFormat="1" applyFont="1" applyFill="1" applyBorder="1" applyAlignment="1">
      <alignment horizontal="center" vertical="center"/>
    </xf>
    <xf numFmtId="0" fontId="142" fillId="72" borderId="1" xfId="197" applyFont="1" applyFill="1" applyBorder="1" applyAlignment="1">
      <alignment horizontal="center" vertical="center"/>
    </xf>
    <xf numFmtId="189" fontId="141" fillId="72" borderId="1" xfId="197" applyNumberFormat="1" applyFont="1" applyFill="1" applyBorder="1" applyAlignment="1">
      <alignment horizontal="center" vertical="center"/>
    </xf>
    <xf numFmtId="0" fontId="24" fillId="72" borderId="1" xfId="197" applyFont="1" applyFill="1" applyBorder="1" applyAlignment="1">
      <alignment horizontal="center" vertical="center"/>
    </xf>
    <xf numFmtId="189" fontId="27" fillId="72" borderId="1" xfId="197" applyNumberFormat="1" applyFont="1" applyFill="1" applyBorder="1" applyAlignment="1">
      <alignment horizontal="center" vertical="center"/>
    </xf>
    <xf numFmtId="0" fontId="142" fillId="73" borderId="1" xfId="197" applyFont="1" applyFill="1" applyBorder="1" applyAlignment="1">
      <alignment horizontal="center" vertical="center"/>
    </xf>
    <xf numFmtId="189" fontId="141" fillId="73" borderId="1" xfId="197" applyNumberFormat="1" applyFont="1" applyFill="1" applyBorder="1" applyAlignment="1">
      <alignment horizontal="center" vertical="center"/>
    </xf>
    <xf numFmtId="0" fontId="24" fillId="73" borderId="1" xfId="197" applyFont="1" applyFill="1" applyBorder="1" applyAlignment="1">
      <alignment horizontal="center" vertical="center"/>
    </xf>
    <xf numFmtId="189" fontId="27" fillId="73" borderId="1" xfId="197" applyNumberFormat="1" applyFont="1" applyFill="1" applyBorder="1" applyAlignment="1">
      <alignment horizontal="center" vertical="center"/>
    </xf>
    <xf numFmtId="0" fontId="144" fillId="74" borderId="1" xfId="197" applyFont="1" applyFill="1" applyBorder="1" applyAlignment="1">
      <alignment horizontal="center" vertical="center"/>
    </xf>
    <xf numFmtId="0" fontId="108" fillId="74" borderId="1" xfId="197" applyFont="1" applyFill="1" applyBorder="1" applyAlignment="1">
      <alignment horizontal="center" vertical="center"/>
    </xf>
    <xf numFmtId="0" fontId="145" fillId="74" borderId="1" xfId="197" applyFont="1" applyFill="1" applyBorder="1" applyAlignment="1">
      <alignment horizontal="center" vertical="center"/>
    </xf>
    <xf numFmtId="0" fontId="108" fillId="74" borderId="1" xfId="197" applyFont="1" applyFill="1" applyBorder="1" applyAlignment="1">
      <alignment horizontal="center" vertical="center" wrapText="1"/>
    </xf>
    <xf numFmtId="189" fontId="144" fillId="74" borderId="1" xfId="197" applyNumberFormat="1" applyFont="1" applyFill="1" applyBorder="1" applyAlignment="1">
      <alignment horizontal="center" vertical="center"/>
    </xf>
    <xf numFmtId="0" fontId="138" fillId="74" borderId="1" xfId="197" applyFont="1" applyFill="1" applyBorder="1" applyAlignment="1">
      <alignment horizontal="center" vertical="center"/>
    </xf>
    <xf numFmtId="0" fontId="140" fillId="74" borderId="1" xfId="197" applyFont="1" applyFill="1" applyBorder="1" applyAlignment="1">
      <alignment horizontal="center" vertical="center"/>
    </xf>
    <xf numFmtId="0" fontId="143" fillId="74" borderId="1" xfId="197" applyFont="1" applyFill="1" applyBorder="1" applyAlignment="1">
      <alignment horizontal="center" vertical="center" wrapText="1"/>
    </xf>
    <xf numFmtId="0" fontId="143" fillId="74" borderId="1" xfId="197" applyFont="1" applyFill="1" applyBorder="1" applyAlignment="1">
      <alignment horizontal="center" vertical="center"/>
    </xf>
    <xf numFmtId="0" fontId="140" fillId="74" borderId="1" xfId="197" applyFont="1" applyFill="1" applyBorder="1" applyAlignment="1">
      <alignment horizontal="center" vertical="center" wrapText="1"/>
    </xf>
    <xf numFmtId="189" fontId="140" fillId="74" borderId="1" xfId="197" applyNumberFormat="1" applyFont="1" applyFill="1" applyBorder="1" applyAlignment="1">
      <alignment horizontal="center" vertical="center"/>
    </xf>
    <xf numFmtId="0" fontId="138" fillId="71" borderId="1" xfId="197" applyFont="1" applyFill="1" applyBorder="1" applyAlignment="1">
      <alignment horizontal="center" vertical="center"/>
    </xf>
    <xf numFmtId="0" fontId="143" fillId="71" borderId="1" xfId="197" applyFont="1" applyFill="1" applyBorder="1" applyAlignment="1">
      <alignment horizontal="center" vertical="center"/>
    </xf>
    <xf numFmtId="0" fontId="140" fillId="71" borderId="1" xfId="197" applyFont="1" applyFill="1" applyBorder="1" applyAlignment="1">
      <alignment horizontal="center" vertical="center" wrapText="1"/>
    </xf>
    <xf numFmtId="192" fontId="140" fillId="71" borderId="1" xfId="197" applyNumberFormat="1" applyFont="1" applyFill="1" applyBorder="1" applyAlignment="1">
      <alignment horizontal="center" vertical="center"/>
    </xf>
    <xf numFmtId="0" fontId="138" fillId="65" borderId="1" xfId="197" applyFont="1" applyFill="1" applyBorder="1" applyAlignment="1">
      <alignment horizontal="center" vertical="center"/>
    </xf>
    <xf numFmtId="0" fontId="140" fillId="65" borderId="1" xfId="197" applyFont="1" applyFill="1" applyBorder="1" applyAlignment="1">
      <alignment horizontal="center" vertical="center"/>
    </xf>
    <xf numFmtId="0" fontId="143" fillId="65" borderId="1" xfId="197" applyFont="1" applyFill="1" applyBorder="1" applyAlignment="1">
      <alignment horizontal="center" vertical="center"/>
    </xf>
    <xf numFmtId="0" fontId="140" fillId="65" borderId="1" xfId="197" applyFont="1" applyFill="1" applyBorder="1" applyAlignment="1">
      <alignment horizontal="center" vertical="center" wrapText="1"/>
    </xf>
    <xf numFmtId="192" fontId="140" fillId="65" borderId="1" xfId="197" applyNumberFormat="1" applyFont="1" applyFill="1" applyBorder="1" applyAlignment="1">
      <alignment horizontal="center" vertical="center"/>
    </xf>
    <xf numFmtId="0" fontId="145" fillId="65" borderId="1" xfId="197" applyFont="1" applyFill="1" applyBorder="1" applyAlignment="1">
      <alignment horizontal="center" vertical="center" wrapText="1"/>
    </xf>
    <xf numFmtId="0" fontId="108" fillId="65" borderId="1" xfId="197" applyFont="1" applyFill="1" applyBorder="1" applyAlignment="1">
      <alignment horizontal="center" vertical="center"/>
    </xf>
    <xf numFmtId="0" fontId="108" fillId="65" borderId="1" xfId="197" applyFont="1" applyFill="1" applyBorder="1" applyAlignment="1">
      <alignment horizontal="center" vertical="center" wrapText="1"/>
    </xf>
    <xf numFmtId="192" fontId="108" fillId="65" borderId="1" xfId="197" applyNumberFormat="1" applyFont="1" applyFill="1" applyBorder="1" applyAlignment="1">
      <alignment horizontal="center" vertical="center"/>
    </xf>
    <xf numFmtId="0" fontId="142" fillId="74" borderId="1" xfId="197" applyFont="1" applyFill="1" applyBorder="1" applyAlignment="1">
      <alignment horizontal="center" vertical="center"/>
    </xf>
    <xf numFmtId="189" fontId="141" fillId="74" borderId="1" xfId="197" applyNumberFormat="1" applyFont="1" applyFill="1" applyBorder="1" applyAlignment="1">
      <alignment horizontal="center" vertical="center"/>
    </xf>
    <xf numFmtId="0" fontId="24" fillId="74" borderId="1" xfId="197" applyFont="1" applyFill="1" applyBorder="1" applyAlignment="1">
      <alignment horizontal="center" vertical="center"/>
    </xf>
    <xf numFmtId="189" fontId="27" fillId="74" borderId="1" xfId="197" applyNumberFormat="1" applyFont="1" applyFill="1" applyBorder="1" applyAlignment="1">
      <alignment horizontal="center" vertical="center"/>
    </xf>
    <xf numFmtId="0" fontId="24" fillId="71" borderId="1" xfId="197" applyFont="1" applyFill="1" applyBorder="1" applyAlignment="1">
      <alignment horizontal="center" vertical="center"/>
    </xf>
    <xf numFmtId="192" fontId="27" fillId="71" borderId="1" xfId="197" applyNumberFormat="1" applyFont="1" applyFill="1" applyBorder="1" applyAlignment="1">
      <alignment horizontal="center" vertical="center"/>
    </xf>
    <xf numFmtId="0" fontId="24" fillId="65" borderId="1" xfId="197" applyFont="1" applyFill="1" applyBorder="1" applyAlignment="1">
      <alignment horizontal="center" vertical="center"/>
    </xf>
    <xf numFmtId="192" fontId="27" fillId="65" borderId="1" xfId="197" applyNumberFormat="1" applyFont="1" applyFill="1" applyBorder="1" applyAlignment="1">
      <alignment horizontal="center" vertical="center"/>
    </xf>
    <xf numFmtId="0" fontId="142" fillId="65" borderId="1" xfId="197" applyFont="1" applyFill="1" applyBorder="1" applyAlignment="1">
      <alignment horizontal="center" vertical="center"/>
    </xf>
    <xf numFmtId="0" fontId="144" fillId="76" borderId="1" xfId="197" applyFont="1" applyFill="1" applyBorder="1" applyAlignment="1">
      <alignment horizontal="center" vertical="center"/>
    </xf>
    <xf numFmtId="0" fontId="108" fillId="76" borderId="1" xfId="197" applyFont="1" applyFill="1" applyBorder="1" applyAlignment="1">
      <alignment horizontal="center" vertical="center"/>
    </xf>
    <xf numFmtId="0" fontId="145" fillId="76" borderId="1" xfId="197" applyFont="1" applyFill="1" applyBorder="1" applyAlignment="1">
      <alignment horizontal="center" vertical="center" wrapText="1"/>
    </xf>
    <xf numFmtId="0" fontId="108" fillId="76" borderId="1" xfId="197" applyFont="1" applyFill="1" applyBorder="1" applyAlignment="1">
      <alignment horizontal="center" vertical="center" wrapText="1"/>
    </xf>
    <xf numFmtId="192" fontId="108" fillId="76" borderId="1" xfId="197" applyNumberFormat="1" applyFont="1" applyFill="1" applyBorder="1" applyAlignment="1">
      <alignment horizontal="center" vertical="center"/>
    </xf>
    <xf numFmtId="0" fontId="138" fillId="76" borderId="2" xfId="197" applyFont="1" applyFill="1" applyBorder="1" applyAlignment="1">
      <alignment horizontal="center" vertical="center"/>
    </xf>
    <xf numFmtId="0" fontId="140" fillId="76" borderId="1" xfId="197" applyFont="1" applyFill="1" applyBorder="1" applyAlignment="1">
      <alignment horizontal="right" vertical="center" wrapText="1"/>
    </xf>
    <xf numFmtId="0" fontId="143" fillId="76" borderId="1" xfId="197" applyFont="1" applyFill="1" applyBorder="1" applyAlignment="1">
      <alignment horizontal="center" vertical="center"/>
    </xf>
    <xf numFmtId="0" fontId="140" fillId="76" borderId="1" xfId="197" applyFont="1" applyFill="1" applyBorder="1" applyAlignment="1">
      <alignment horizontal="center" vertical="center"/>
    </xf>
    <xf numFmtId="0" fontId="24" fillId="76" borderId="2" xfId="197" applyFont="1" applyFill="1" applyBorder="1" applyAlignment="1">
      <alignment horizontal="center" vertical="center"/>
    </xf>
    <xf numFmtId="0" fontId="138" fillId="76" borderId="3" xfId="197" applyFont="1" applyFill="1" applyBorder="1" applyAlignment="1">
      <alignment horizontal="center" vertical="center"/>
    </xf>
    <xf numFmtId="0" fontId="24" fillId="76" borderId="3" xfId="197" applyFont="1" applyFill="1" applyBorder="1" applyAlignment="1">
      <alignment horizontal="center" vertical="center"/>
    </xf>
    <xf numFmtId="176" fontId="140" fillId="75" borderId="1" xfId="197" applyNumberFormat="1" applyFont="1" applyFill="1" applyBorder="1" applyAlignment="1">
      <alignment horizontal="center" vertical="center" wrapText="1"/>
    </xf>
    <xf numFmtId="0" fontId="138" fillId="76" borderId="4" xfId="197" applyFont="1" applyFill="1" applyBorder="1" applyAlignment="1">
      <alignment horizontal="center" vertical="center"/>
    </xf>
    <xf numFmtId="0" fontId="140" fillId="77" borderId="1" xfId="197" applyFont="1" applyFill="1" applyBorder="1" applyAlignment="1">
      <alignment horizontal="center" vertical="center" wrapText="1"/>
    </xf>
    <xf numFmtId="0" fontId="24" fillId="76" borderId="4" xfId="197" applyFont="1" applyFill="1" applyBorder="1" applyAlignment="1">
      <alignment horizontal="center" vertical="center"/>
    </xf>
    <xf numFmtId="0" fontId="140" fillId="76" borderId="1" xfId="197" applyFont="1" applyFill="1" applyBorder="1" applyAlignment="1">
      <alignment horizontal="right" vertical="center"/>
    </xf>
    <xf numFmtId="0" fontId="140" fillId="76" borderId="1" xfId="197" applyFont="1" applyFill="1" applyBorder="1" applyAlignment="1">
      <alignment horizontal="left" vertical="center"/>
    </xf>
    <xf numFmtId="0" fontId="138" fillId="76" borderId="1" xfId="197" applyFont="1" applyFill="1" applyBorder="1" applyAlignment="1">
      <alignment horizontal="center" vertical="center"/>
    </xf>
    <xf numFmtId="0" fontId="24" fillId="76" borderId="1" xfId="197" applyFont="1" applyFill="1" applyBorder="1" applyAlignment="1">
      <alignment horizontal="center" vertical="center"/>
    </xf>
    <xf numFmtId="0" fontId="140" fillId="76" borderId="1" xfId="197" applyFont="1" applyFill="1" applyBorder="1" applyAlignment="1">
      <alignment horizontal="center" vertical="center" wrapText="1"/>
    </xf>
    <xf numFmtId="0" fontId="142" fillId="76" borderId="1" xfId="197" applyFont="1" applyFill="1" applyBorder="1" applyAlignment="1">
      <alignment horizontal="center" vertical="center"/>
    </xf>
    <xf numFmtId="192" fontId="141" fillId="76" borderId="1" xfId="197" applyNumberFormat="1" applyFont="1" applyFill="1" applyBorder="1" applyAlignment="1">
      <alignment horizontal="center" vertical="center"/>
    </xf>
    <xf numFmtId="0" fontId="24" fillId="78" borderId="1" xfId="197" applyFont="1" applyFill="1" applyBorder="1">
      <alignment vertical="center"/>
    </xf>
    <xf numFmtId="0" fontId="140" fillId="77" borderId="1" xfId="197" applyFont="1" applyFill="1" applyBorder="1" applyAlignment="1">
      <alignment horizontal="center" vertical="center"/>
    </xf>
    <xf numFmtId="192" fontId="140" fillId="76" borderId="1" xfId="197" applyNumberFormat="1" applyFont="1" applyFill="1" applyBorder="1" applyAlignment="1">
      <alignment horizontal="center" vertical="center"/>
    </xf>
    <xf numFmtId="0" fontId="140" fillId="76" borderId="2" xfId="197" applyFont="1" applyFill="1" applyBorder="1" applyAlignment="1">
      <alignment horizontal="center" vertical="center"/>
    </xf>
    <xf numFmtId="0" fontId="140" fillId="76" borderId="3" xfId="197" applyFont="1" applyFill="1" applyBorder="1" applyAlignment="1">
      <alignment horizontal="center" vertical="center"/>
    </xf>
    <xf numFmtId="0" fontId="140" fillId="76" borderId="4" xfId="197" applyFont="1" applyFill="1" applyBorder="1" applyAlignment="1">
      <alignment horizontal="center" vertical="center"/>
    </xf>
    <xf numFmtId="192" fontId="27" fillId="76" borderId="1" xfId="197" applyNumberFormat="1" applyFont="1" applyFill="1" applyBorder="1" applyAlignment="1">
      <alignment horizontal="center" vertical="center"/>
    </xf>
    <xf numFmtId="192" fontId="27" fillId="76" borderId="2" xfId="197" applyNumberFormat="1" applyFont="1" applyFill="1" applyBorder="1" applyAlignment="1">
      <alignment horizontal="center" vertical="center"/>
    </xf>
    <xf numFmtId="192" fontId="27" fillId="76" borderId="3" xfId="197" applyNumberFormat="1" applyFont="1" applyFill="1" applyBorder="1" applyAlignment="1">
      <alignment horizontal="center" vertical="center"/>
    </xf>
    <xf numFmtId="192" fontId="27" fillId="76" borderId="4" xfId="197" applyNumberFormat="1" applyFont="1" applyFill="1" applyBorder="1" applyAlignment="1">
      <alignment horizontal="center" vertical="center"/>
    </xf>
    <xf numFmtId="0" fontId="111" fillId="0" borderId="0" xfId="182"/>
    <xf numFmtId="0" fontId="111" fillId="2" borderId="0" xfId="182" applyFill="1"/>
    <xf numFmtId="0" fontId="146" fillId="2" borderId="0" xfId="182" applyFont="1" applyFill="1"/>
    <xf numFmtId="0" fontId="111" fillId="6" borderId="0" xfId="182" applyFill="1"/>
    <xf numFmtId="0" fontId="111" fillId="18" borderId="0" xfId="182" applyFill="1"/>
    <xf numFmtId="0" fontId="111" fillId="2" borderId="0" xfId="182" applyFont="1" applyFill="1"/>
    <xf numFmtId="0" fontId="111" fillId="0" borderId="0" xfId="182" applyFont="1"/>
    <xf numFmtId="0" fontId="111" fillId="11" borderId="0" xfId="182" applyFill="1"/>
    <xf numFmtId="0" fontId="131" fillId="6" borderId="0" xfId="182" applyFont="1" applyFill="1"/>
    <xf numFmtId="194" fontId="111" fillId="2" borderId="0" xfId="182" applyNumberFormat="1" applyFont="1" applyFill="1"/>
    <xf numFmtId="2" fontId="111" fillId="18" borderId="0" xfId="182" applyNumberFormat="1" applyFill="1"/>
    <xf numFmtId="0" fontId="0" fillId="13" borderId="0" xfId="0" applyFont="1" applyFill="1" applyAlignment="1"/>
    <xf numFmtId="0" fontId="0" fillId="6" borderId="0" xfId="0" applyFill="1" applyAlignment="1"/>
    <xf numFmtId="0" fontId="146" fillId="0" borderId="0" xfId="182" applyFont="1"/>
    <xf numFmtId="0" fontId="0" fillId="13" borderId="0" xfId="0" applyFill="1" applyAlignment="1"/>
    <xf numFmtId="0" fontId="146" fillId="0" borderId="0" xfId="0" applyFont="1" applyAlignment="1"/>
    <xf numFmtId="0" fontId="111" fillId="5" borderId="0" xfId="182" applyFill="1"/>
    <xf numFmtId="0" fontId="111" fillId="0" borderId="0" xfId="0" applyFont="1" applyAlignment="1"/>
    <xf numFmtId="0" fontId="147" fillId="0" borderId="0" xfId="186" applyFont="1">
      <alignment vertical="center"/>
    </xf>
    <xf numFmtId="0" fontId="142" fillId="57" borderId="1" xfId="186" applyFont="1" applyFill="1" applyBorder="1" applyAlignment="1">
      <alignment horizontal="center" vertical="center"/>
    </xf>
    <xf numFmtId="0" fontId="142" fillId="57" borderId="10" xfId="186" applyFont="1" applyFill="1" applyBorder="1" applyAlignment="1">
      <alignment horizontal="center" vertical="center"/>
    </xf>
    <xf numFmtId="0" fontId="142" fillId="57" borderId="12" xfId="186" applyFont="1" applyFill="1" applyBorder="1" applyAlignment="1">
      <alignment horizontal="center" vertical="center"/>
    </xf>
    <xf numFmtId="0" fontId="24" fillId="57" borderId="1" xfId="186" applyFont="1" applyFill="1" applyBorder="1" applyAlignment="1">
      <alignment horizontal="center" vertical="center"/>
    </xf>
    <xf numFmtId="0" fontId="24" fillId="79" borderId="1" xfId="186" applyFont="1" applyFill="1" applyBorder="1" applyAlignment="1">
      <alignment horizontal="center" vertical="center" wrapText="1"/>
    </xf>
    <xf numFmtId="0" fontId="24" fillId="6" borderId="12" xfId="186" applyFont="1" applyFill="1" applyBorder="1" applyAlignment="1">
      <alignment horizontal="center" vertical="center"/>
    </xf>
    <xf numFmtId="0" fontId="24" fillId="0" borderId="1" xfId="186" applyFont="1" applyFill="1" applyBorder="1" applyAlignment="1">
      <alignment horizontal="center" vertical="center"/>
    </xf>
    <xf numFmtId="0" fontId="24" fillId="4" borderId="1" xfId="186" applyFont="1" applyFill="1" applyBorder="1" applyAlignment="1">
      <alignment horizontal="center" vertical="center"/>
    </xf>
    <xf numFmtId="0" fontId="24" fillId="79" borderId="1" xfId="186" applyFont="1" applyFill="1" applyBorder="1" applyAlignment="1">
      <alignment horizontal="center" vertical="center"/>
    </xf>
    <xf numFmtId="0" fontId="24" fillId="6" borderId="1" xfId="186" applyFont="1" applyFill="1" applyBorder="1" applyAlignment="1">
      <alignment horizontal="center" vertical="center" wrapText="1"/>
    </xf>
    <xf numFmtId="0" fontId="24" fillId="6" borderId="1" xfId="186" applyFont="1" applyFill="1" applyBorder="1" applyAlignment="1">
      <alignment horizontal="center" vertical="center"/>
    </xf>
    <xf numFmtId="194" fontId="24" fillId="6" borderId="1" xfId="186" applyNumberFormat="1" applyFont="1" applyFill="1" applyBorder="1" applyAlignment="1">
      <alignment horizontal="center" vertical="center" wrapText="1"/>
    </xf>
    <xf numFmtId="1" fontId="24" fillId="6" borderId="1" xfId="186" applyNumberFormat="1" applyFont="1" applyFill="1" applyBorder="1" applyAlignment="1">
      <alignment horizontal="center" vertical="center" wrapText="1"/>
    </xf>
    <xf numFmtId="194" fontId="24" fillId="6" borderId="1" xfId="186" applyNumberFormat="1" applyFont="1" applyFill="1" applyBorder="1" applyAlignment="1">
      <alignment horizontal="center" vertical="center"/>
    </xf>
    <xf numFmtId="0" fontId="27" fillId="79" borderId="1" xfId="186" applyFont="1" applyFill="1" applyBorder="1" applyAlignment="1">
      <alignment horizontal="center" vertical="center"/>
    </xf>
    <xf numFmtId="0" fontId="27" fillId="79" borderId="1" xfId="186" applyFont="1" applyFill="1" applyBorder="1" applyAlignment="1">
      <alignment horizontal="center" vertical="center" wrapText="1"/>
    </xf>
    <xf numFmtId="0" fontId="24" fillId="4" borderId="1" xfId="186" applyFont="1" applyFill="1" applyBorder="1" applyAlignment="1">
      <alignment horizontal="center" vertical="center" wrapText="1"/>
    </xf>
    <xf numFmtId="0" fontId="148" fillId="0" borderId="0" xfId="15">
      <alignment vertical="center"/>
    </xf>
    <xf numFmtId="9" fontId="24" fillId="4" borderId="1" xfId="186" applyNumberFormat="1" applyFont="1" applyFill="1" applyBorder="1" applyAlignment="1">
      <alignment horizontal="center" vertical="center" wrapText="1"/>
    </xf>
    <xf numFmtId="0" fontId="24" fillId="79" borderId="2" xfId="186" applyFont="1" applyFill="1" applyBorder="1" applyAlignment="1">
      <alignment horizontal="center" vertical="center"/>
    </xf>
    <xf numFmtId="0" fontId="24" fillId="79" borderId="3" xfId="186" applyFont="1" applyFill="1" applyBorder="1" applyAlignment="1">
      <alignment horizontal="center" vertical="center"/>
    </xf>
    <xf numFmtId="0" fontId="24" fillId="79" borderId="4" xfId="186" applyFont="1" applyFill="1" applyBorder="1" applyAlignment="1">
      <alignment horizontal="center" vertical="center"/>
    </xf>
    <xf numFmtId="0" fontId="24" fillId="57" borderId="10" xfId="186" applyFont="1" applyFill="1" applyBorder="1" applyAlignment="1">
      <alignment horizontal="center" vertical="center"/>
    </xf>
    <xf numFmtId="0" fontId="24" fillId="79" borderId="10" xfId="186" applyFont="1" applyFill="1" applyBorder="1" applyAlignment="1">
      <alignment horizontal="center" vertical="center"/>
    </xf>
    <xf numFmtId="0" fontId="24" fillId="79" borderId="10" xfId="186" applyFont="1" applyFill="1" applyBorder="1" applyAlignment="1">
      <alignment horizontal="center" vertical="center" wrapText="1"/>
    </xf>
    <xf numFmtId="0" fontId="24" fillId="0" borderId="0" xfId="186" applyFont="1" applyFill="1" applyBorder="1" applyAlignment="1">
      <alignment vertical="center" wrapText="1"/>
    </xf>
    <xf numFmtId="0" fontId="24" fillId="0" borderId="0" xfId="186" applyFont="1" applyFill="1" applyBorder="1" applyAlignment="1">
      <alignment vertical="center"/>
    </xf>
  </cellXfs>
  <cellStyles count="302">
    <cellStyle name="常规" xfId="0" builtinId="0"/>
    <cellStyle name="60% - 강조색6" xfId="1"/>
    <cellStyle name="60% - 강조색4 2" xfId="2"/>
    <cellStyle name="货币[0]" xfId="3" builtinId="7"/>
    <cellStyle name="20% - 强调文字颜色 3" xfId="4" builtinId="38"/>
    <cellStyle name="输入" xfId="5" builtinId="20"/>
    <cellStyle name="货币" xfId="6" builtinId="4"/>
    <cellStyle name="千位分隔[0]" xfId="7" builtinId="6"/>
    <cellStyle name="l]_x000a__x000a_Path=h:_x000a__x000a_Name=Diana Chang_x000a__x000a_DDEApps=nsf,nsg,nsh,ntf,ns2,ors,org_x000a__x000a_SmartIcons=Read Message_x000a__x000a__x000a__x000a__x000a__x000a_[cc:Edit" xfId="8"/>
    <cellStyle name="40% - 强调文字颜色 3" xfId="9" builtinId="39"/>
    <cellStyle name="연결된 셀 2" xfId="10"/>
    <cellStyle name="差" xfId="11" builtinId="27"/>
    <cellStyle name="常规 7 3" xfId="12"/>
    <cellStyle name="千位分隔" xfId="13" builtinId="3"/>
    <cellStyle name="60% - 强调文字颜色 3" xfId="14" builtinId="40"/>
    <cellStyle name="超链接" xfId="15" builtinId="8"/>
    <cellStyle name="百分比" xfId="16" builtinId="5"/>
    <cellStyle name="已访问的超链接" xfId="17" builtinId="9"/>
    <cellStyle name="常规 6" xfId="18"/>
    <cellStyle name="注释" xfId="19" builtinId="10"/>
    <cellStyle name="常规 12 2 2" xfId="20"/>
    <cellStyle name="60% - 强调文字颜色 2" xfId="21" builtinId="36"/>
    <cellStyle name="20% - 강조색3 2" xfId="22"/>
    <cellStyle name="标题 4" xfId="23" builtinId="19"/>
    <cellStyle name="警告文本" xfId="24" builtinId="11"/>
    <cellStyle name="常规 5 2" xfId="25"/>
    <cellStyle name="标题" xfId="26" builtinId="15"/>
    <cellStyle name="解释性文本" xfId="27" builtinId="53"/>
    <cellStyle name="百分比 4" xfId="28"/>
    <cellStyle name="标题 1" xfId="29" builtinId="16"/>
    <cellStyle name="常规 5 2 2" xfId="30"/>
    <cellStyle name="百分比 5" xfId="31"/>
    <cellStyle name="标题 2" xfId="32" builtinId="17"/>
    <cellStyle name="0,0_x000d__x000a_NA_x000d__x000a_" xfId="33"/>
    <cellStyle name="60% - 强调文字颜色 1" xfId="34" builtinId="32"/>
    <cellStyle name="常规 5 2 3" xfId="35"/>
    <cellStyle name="60% - 강조색6 2" xfId="36"/>
    <cellStyle name="标题 3" xfId="37" builtinId="18"/>
    <cellStyle name="60% - 强调文字颜色 4" xfId="38" builtinId="44"/>
    <cellStyle name="输出" xfId="39" builtinId="21"/>
    <cellStyle name="常规 26" xfId="40"/>
    <cellStyle name="计算" xfId="41" builtinId="22"/>
    <cellStyle name="0,0_x000a_NA_x000a_" xfId="42"/>
    <cellStyle name="检查单元格" xfId="43" builtinId="23"/>
    <cellStyle name="常规 8 3" xfId="44"/>
    <cellStyle name="20% - 强调文字颜色 6" xfId="45" builtinId="50"/>
    <cellStyle name="强调文字颜色 2" xfId="46" builtinId="33"/>
    <cellStyle name="链接单元格" xfId="47" builtinId="24"/>
    <cellStyle name="汇总" xfId="48" builtinId="25"/>
    <cellStyle name="差_Xl0000000" xfId="49"/>
    <cellStyle name="好" xfId="50" builtinId="26"/>
    <cellStyle name="20% - 强调文字颜色 3 3" xfId="51"/>
    <cellStyle name="适中" xfId="52" builtinId="28"/>
    <cellStyle name="常规 8 2" xfId="53"/>
    <cellStyle name="20% - 强调文字颜色 5" xfId="54" builtinId="46"/>
    <cellStyle name="强调文字颜色 1" xfId="55" builtinId="29"/>
    <cellStyle name="제목 5" xfId="56"/>
    <cellStyle name="20% - 强调文字颜色 1" xfId="57" builtinId="30"/>
    <cellStyle name="一般" xfId="58"/>
    <cellStyle name="40% - 强调文字颜色 1" xfId="59" builtinId="31"/>
    <cellStyle name="20% - 强调文字颜色 2" xfId="60" builtinId="34"/>
    <cellStyle name="40% - 强调文字颜色 2" xfId="61" builtinId="35"/>
    <cellStyle name="强调文字颜色 3" xfId="62" builtinId="37"/>
    <cellStyle name="강조색1 2" xfId="63"/>
    <cellStyle name="20% - 강조색5 2" xfId="64"/>
    <cellStyle name="强调文字颜色 4" xfId="65" builtinId="41"/>
    <cellStyle name="20% - 强调文字颜色 4" xfId="66" builtinId="42"/>
    <cellStyle name="40% - 强调文字颜色 4" xfId="67" builtinId="43"/>
    <cellStyle name="强调文字颜色 5" xfId="68" builtinId="45"/>
    <cellStyle name="20% - 강조색4 2" xfId="69"/>
    <cellStyle name="40% - 强调文字颜色 5" xfId="70" builtinId="47"/>
    <cellStyle name="60% - 强调文字颜色 5" xfId="71" builtinId="48"/>
    <cellStyle name="20% - 강조색1" xfId="72"/>
    <cellStyle name="60% - 강조색3 2" xfId="73"/>
    <cellStyle name="强调文字颜色 6" xfId="74" builtinId="49"/>
    <cellStyle name="출력" xfId="75"/>
    <cellStyle name="适中 2" xfId="76"/>
    <cellStyle name="40% - 强调文字颜色 6" xfId="77" builtinId="51"/>
    <cellStyle name="60% - 强调文字颜色 6" xfId="78" builtinId="52"/>
    <cellStyle name="20% - 강조색1 2" xfId="79"/>
    <cellStyle name="20% - 강조색2" xfId="80"/>
    <cellStyle name="20% - 강조색2 2" xfId="81"/>
    <cellStyle name="常规 12 2" xfId="82"/>
    <cellStyle name="20% - 강조색3" xfId="83"/>
    <cellStyle name="常规 12 3" xfId="84"/>
    <cellStyle name="20% - 강조색4" xfId="85"/>
    <cellStyle name="강조색1" xfId="86"/>
    <cellStyle name="20% - 강조색5" xfId="87"/>
    <cellStyle name="강조색2" xfId="88"/>
    <cellStyle name="l]_x000a__x000a_Path=h:_x000a__x000a_Name=Diana Chang_x000a__x000a_DDEApps=nsf,nsg,nsh,ntf,ns2,ors,org_x000a__x000a_SmartIcons=Read Message_x000a__x000a__x000a__x000a__x000a__x000a_[cc:Edit 2" xfId="89"/>
    <cellStyle name="20% - 강조색6" xfId="90"/>
    <cellStyle name="강조색2 2" xfId="91"/>
    <cellStyle name="20% - 강조색6 2" xfId="92"/>
    <cellStyle name="20% - 强调文字颜色 2 2" xfId="93"/>
    <cellStyle name="20% - 强调文字颜色 3 2" xfId="94"/>
    <cellStyle name="40% - 강조색1" xfId="95"/>
    <cellStyle name="60% - 강조색1" xfId="96"/>
    <cellStyle name="40% - 강조색1 2" xfId="97"/>
    <cellStyle name="40% - 강조색2" xfId="98"/>
    <cellStyle name="40% - 강조색2 2" xfId="99"/>
    <cellStyle name="경고문 2" xfId="100"/>
    <cellStyle name="40% - 강조색3" xfId="101"/>
    <cellStyle name="40% - 강조색3 2" xfId="102"/>
    <cellStyle name="40% - 강조색4" xfId="103"/>
    <cellStyle name="40% - 강조색4 2" xfId="104"/>
    <cellStyle name="40% - 강조색5" xfId="105"/>
    <cellStyle name="40% - 강조색5 2" xfId="106"/>
    <cellStyle name="40% - 강조색6" xfId="107"/>
    <cellStyle name="40% - 강조색6 2" xfId="108"/>
    <cellStyle name="40% - 强调文字颜色 5 2" xfId="109"/>
    <cellStyle name="계산" xfId="110"/>
    <cellStyle name="40% - 强调文字颜色 5 2 2" xfId="111"/>
    <cellStyle name="출력 2" xfId="112"/>
    <cellStyle name="40% - 强调文字颜色 6 2" xfId="113"/>
    <cellStyle name="60% - 강조색1 2" xfId="114"/>
    <cellStyle name="60% - 강조색2" xfId="115"/>
    <cellStyle name="60% - 강조색2 2" xfId="116"/>
    <cellStyle name="60% - 강조색3" xfId="117"/>
    <cellStyle name="60% - 강조색4" xfId="118"/>
    <cellStyle name="60% - 강조색5" xfId="119"/>
    <cellStyle name="60% - 강조색5 2" xfId="120"/>
    <cellStyle name="cf1" xfId="121"/>
    <cellStyle name="常规 2 3 2" xfId="122"/>
    <cellStyle name="cf2" xfId="123"/>
    <cellStyle name="常规 2 3 3" xfId="124"/>
    <cellStyle name="cf3" xfId="125"/>
    <cellStyle name="Percent [2] 2" xfId="126"/>
    <cellStyle name="cf4" xfId="127"/>
    <cellStyle name="cf5" xfId="128"/>
    <cellStyle name="Grey" xfId="129"/>
    <cellStyle name="cf6" xfId="130"/>
    <cellStyle name="cf7" xfId="131"/>
    <cellStyle name="常规 20 3" xfId="132"/>
    <cellStyle name="Grey 2" xfId="133"/>
    <cellStyle name="Header1" xfId="134"/>
    <cellStyle name="一般 4" xfId="135"/>
    <cellStyle name="常规 9 3" xfId="136"/>
    <cellStyle name="Header1 2" xfId="137"/>
    <cellStyle name="Header2" xfId="138"/>
    <cellStyle name="Header2 2" xfId="139"/>
    <cellStyle name="Input [yellow]" xfId="140"/>
    <cellStyle name="Input [yellow] 2" xfId="141"/>
    <cellStyle name="Normal - Style1" xfId="142"/>
    <cellStyle name="Normal - Style1 2" xfId="143"/>
    <cellStyle name="Normal_p2-appendix-207B" xfId="144"/>
    <cellStyle name="Percent [2]" xfId="145"/>
    <cellStyle name="강조색3" xfId="146"/>
    <cellStyle name="강조색3 2" xfId="147"/>
    <cellStyle name="강조색4" xfId="148"/>
    <cellStyle name="강조색4 2" xfId="149"/>
    <cellStyle name="강조색5" xfId="150"/>
    <cellStyle name="강조색5 2" xfId="151"/>
    <cellStyle name="강조색6" xfId="152"/>
    <cellStyle name="강조색6 2" xfId="153"/>
    <cellStyle name="百分比 2" xfId="154"/>
    <cellStyle name="好_Xl0000000" xfId="155"/>
    <cellStyle name="百分比 2 2" xfId="156"/>
    <cellStyle name="好_Xl0000000 2" xfId="157"/>
    <cellStyle name="百分比 2 2 2" xfId="158"/>
    <cellStyle name="百分比 2 3" xfId="159"/>
    <cellStyle name="百分比 3" xfId="160"/>
    <cellStyle name="超链接 5" xfId="161"/>
    <cellStyle name="百分比 3 2" xfId="162"/>
    <cellStyle name="標準_Distribution" xfId="163"/>
    <cellStyle name="常规 2 5 2" xfId="164"/>
    <cellStyle name="경고문" xfId="165"/>
    <cellStyle name="常规 20" xfId="166"/>
    <cellStyle name="常规 15" xfId="167"/>
    <cellStyle name="계산 2" xfId="168"/>
    <cellStyle name="差 2" xfId="169"/>
    <cellStyle name="好 2" xfId="170"/>
    <cellStyle name="差_Xl0000000 2" xfId="171"/>
    <cellStyle name="差_Xl0000000 2 2" xfId="172"/>
    <cellStyle name="差_Xl0000000 3" xfId="173"/>
    <cellStyle name="常规 21 2" xfId="174"/>
    <cellStyle name="常规 16 2" xfId="175"/>
    <cellStyle name="常规 10" xfId="176"/>
    <cellStyle name="常规 10 2" xfId="177"/>
    <cellStyle name="常规 10 3" xfId="178"/>
    <cellStyle name="좋음 2" xfId="179"/>
    <cellStyle name="一般 3 2 2 2" xfId="180"/>
    <cellStyle name="常规 10 4" xfId="181"/>
    <cellStyle name="常规 11" xfId="182"/>
    <cellStyle name="常规 11 2" xfId="183"/>
    <cellStyle name="常规 11 2 2" xfId="184"/>
    <cellStyle name="제목" xfId="185"/>
    <cellStyle name="常规 11 3" xfId="186"/>
    <cellStyle name="常规 12" xfId="187"/>
    <cellStyle name="常规 13" xfId="188"/>
    <cellStyle name="常规 13 2" xfId="189"/>
    <cellStyle name="常规 14" xfId="190"/>
    <cellStyle name="常规 14 2" xfId="191"/>
    <cellStyle name="常规 14 2 2" xfId="192"/>
    <cellStyle name="常规 14 3" xfId="193"/>
    <cellStyle name="常规 20 2" xfId="194"/>
    <cellStyle name="常规 15 2" xfId="195"/>
    <cellStyle name="常规 16" xfId="196"/>
    <cellStyle name="常规 17" xfId="197"/>
    <cellStyle name="常规 17 2" xfId="198"/>
    <cellStyle name="常规 2" xfId="199"/>
    <cellStyle name="常规 2 2" xfId="200"/>
    <cellStyle name="常规 2 2 2" xfId="201"/>
    <cellStyle name="常规 2 2 3" xfId="202"/>
    <cellStyle name="常规 2 2 3 2" xfId="203"/>
    <cellStyle name="常规 2 3" xfId="204"/>
    <cellStyle name="常规 2 4" xfId="205"/>
    <cellStyle name="常规 2 5" xfId="206"/>
    <cellStyle name="常规 2 6" xfId="207"/>
    <cellStyle name="常规 2 6 2" xfId="208"/>
    <cellStyle name="常规 2 7" xfId="209"/>
    <cellStyle name="常规 2 7 2" xfId="210"/>
    <cellStyle name="常规 2 8" xfId="211"/>
    <cellStyle name="常规 2 8 2" xfId="212"/>
    <cellStyle name="常规 2 9" xfId="213"/>
    <cellStyle name="常规 20 2 2" xfId="214"/>
    <cellStyle name="常规 24" xfId="215"/>
    <cellStyle name="常规 32" xfId="216"/>
    <cellStyle name="常规 27" xfId="217"/>
    <cellStyle name="입력" xfId="218"/>
    <cellStyle name="常规 28" xfId="219"/>
    <cellStyle name="常规 3" xfId="220"/>
    <cellStyle name="常规 3 2" xfId="221"/>
    <cellStyle name="常规 3 2 2" xfId="222"/>
    <cellStyle name="常规 3 3" xfId="223"/>
    <cellStyle name="메모" xfId="224"/>
    <cellStyle name="常规 3 3 2" xfId="225"/>
    <cellStyle name="常规 3 4" xfId="226"/>
    <cellStyle name="常规 4" xfId="227"/>
    <cellStyle name="常规 4 2" xfId="228"/>
    <cellStyle name="常规 4 4" xfId="229"/>
    <cellStyle name="常规 4 2 2" xfId="230"/>
    <cellStyle name="常规 4 2 3" xfId="231"/>
    <cellStyle name="보통 2" xfId="232"/>
    <cellStyle name="常规 4 3" xfId="233"/>
    <cellStyle name="常规 5" xfId="234"/>
    <cellStyle name="常规 5 3" xfId="235"/>
    <cellStyle name="常规 6 2" xfId="236"/>
    <cellStyle name="常规 6 2 2" xfId="237"/>
    <cellStyle name="常规 6 3" xfId="238"/>
    <cellStyle name="常规 7" xfId="239"/>
    <cellStyle name="常规 7 2" xfId="240"/>
    <cellStyle name="常规 8" xfId="241"/>
    <cellStyle name="常规 8 4" xfId="242"/>
    <cellStyle name="常规 9" xfId="243"/>
    <cellStyle name="一般 3" xfId="244"/>
    <cellStyle name="常规 9 2" xfId="245"/>
    <cellStyle name="常规 9 4" xfId="246"/>
    <cellStyle name="超連結" xfId="247"/>
    <cellStyle name="超連結 2" xfId="248"/>
    <cellStyle name="超連結 3" xfId="249"/>
    <cellStyle name="超链接 2" xfId="250"/>
    <cellStyle name="超链接 2 2" xfId="251"/>
    <cellStyle name="一般 2 3 2" xfId="252"/>
    <cellStyle name="超链接 3" xfId="253"/>
    <cellStyle name="超链接 3 2" xfId="254"/>
    <cellStyle name="超链接 4" xfId="255"/>
    <cellStyle name="超链接 5 2" xfId="256"/>
    <cellStyle name="나쁨" xfId="257"/>
    <cellStyle name="나쁨 2" xfId="258"/>
    <cellStyle name="好_Xl0000000 2 2" xfId="259"/>
    <cellStyle name="好_Xl0000000 3" xfId="260"/>
    <cellStyle name="千位分隔 2" xfId="261"/>
    <cellStyle name="千位分隔 3" xfId="262"/>
    <cellStyle name="强调文字颜色 2 2" xfId="263"/>
    <cellStyle name="强调文字颜色 3 2" xfId="264"/>
    <cellStyle name="强调文字颜色 5 2" xfId="265"/>
    <cellStyle name="메모 2" xfId="266"/>
    <cellStyle name="一般 2" xfId="267"/>
    <cellStyle name="一般 2 2" xfId="268"/>
    <cellStyle name="一般 2 2 2" xfId="269"/>
    <cellStyle name="一般 2 2 3" xfId="270"/>
    <cellStyle name="一般 2 3" xfId="271"/>
    <cellStyle name="一般 2 4" xfId="272"/>
    <cellStyle name="一般 3 2" xfId="273"/>
    <cellStyle name="좋음" xfId="274"/>
    <cellStyle name="一般 3 2 2" xfId="275"/>
    <cellStyle name="一般 3 2 3" xfId="276"/>
    <cellStyle name="一般 3 2 4" xfId="277"/>
    <cellStyle name="一般 3 3" xfId="278"/>
    <cellStyle name="一般_Xl0000000" xfId="279"/>
    <cellStyle name="着色 3 2" xfId="280"/>
    <cellStyle name="보통" xfId="281"/>
    <cellStyle name="뷭?_븸?R둴봃¨u¡Æ " xfId="282"/>
    <cellStyle name="설명 텍스트" xfId="283"/>
    <cellStyle name="연결된 셀" xfId="284"/>
    <cellStyle name="설명 텍스트 2" xfId="285"/>
    <cellStyle name="셀 확인" xfId="286"/>
    <cellStyle name="셀 확인 2" xfId="287"/>
    <cellStyle name="요약" xfId="288"/>
    <cellStyle name="요약 2" xfId="289"/>
    <cellStyle name="입력 2" xfId="290"/>
    <cellStyle name="제목 1" xfId="291"/>
    <cellStyle name="제목 1 2" xfId="292"/>
    <cellStyle name="제목 2" xfId="293"/>
    <cellStyle name="제목 2 2" xfId="294"/>
    <cellStyle name="제목 3" xfId="295"/>
    <cellStyle name="제목 3 2" xfId="296"/>
    <cellStyle name="제목 4" xfId="297"/>
    <cellStyle name="제목 4 2" xfId="298"/>
    <cellStyle name="콤마 [0]_(2)" xfId="299"/>
    <cellStyle name="콤마_(2)" xfId="300"/>
    <cellStyle name="표준_(TLi)Test_Board" xfId="301"/>
  </cellStyles>
  <dxfs count="16">
    <dxf>
      <fill>
        <patternFill patternType="solid">
          <bgColor rgb="FF00B050"/>
        </patternFill>
      </fill>
    </dxf>
    <dxf>
      <fill>
        <patternFill patternType="solid">
          <bgColor rgb="FFFF0000"/>
        </patternFill>
      </fill>
    </dxf>
    <dxf>
      <font>
        <color auto="1"/>
      </font>
      <fill>
        <patternFill patternType="solid">
          <bgColor rgb="FFFF000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theme="0" tint="-0.349986266670736"/>
        </patternFill>
      </fill>
    </dxf>
    <dxf>
      <font>
        <color rgb="FFFF0000"/>
      </font>
      <fill>
        <patternFill patternType="solid">
          <bgColor theme="0" tint="-0.349986266670736"/>
        </patternFill>
      </fill>
    </dxf>
    <dxf>
      <fill>
        <patternFill patternType="solid">
          <bgColor theme="0" tint="-0.249946592608417"/>
        </patternFill>
      </fill>
    </dxf>
    <dxf>
      <font>
        <color rgb="FFFF0000"/>
      </font>
      <fill>
        <patternFill patternType="solid">
          <bgColor rgb="FFFFCCFF"/>
        </patternFill>
      </fill>
    </dxf>
    <dxf>
      <font>
        <color rgb="FFFF0000"/>
      </font>
    </dxf>
    <dxf>
      <fill>
        <patternFill patternType="solid">
          <bgColor rgb="FFFFFF00"/>
        </patternFill>
      </fill>
    </dxf>
    <dxf>
      <fill>
        <patternFill patternType="solid">
          <bgColor theme="0" tint="-0.349986266670736"/>
        </patternFill>
      </fill>
    </dxf>
    <dxf>
      <fill>
        <patternFill patternType="solid">
          <bgColor rgb="FF92D050"/>
        </patternFill>
      </fill>
    </dxf>
    <dxf>
      <font>
        <color rgb="FF9C6500"/>
      </font>
      <fill>
        <patternFill patternType="solid">
          <bgColor rgb="FFFFEB9C"/>
        </patternFill>
      </fill>
    </dxf>
    <dxf>
      <fill>
        <patternFill patternType="solid">
          <bgColor rgb="FF00B050"/>
        </patternFill>
      </fill>
    </dxf>
    <dxf>
      <font>
        <color rgb="FF006100"/>
      </font>
      <fill>
        <patternFill patternType="solid">
          <bgColor rgb="FFC6EF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9" defaultPivotStyle="PivotStyleLight16"/>
  <colors>
    <mruColors>
      <color rgb="000000CC"/>
      <color rgb="0099CC00"/>
      <color rgb="00CCFF33"/>
      <color rgb="00FFCCFF"/>
      <color rgb="00FF66FF"/>
      <color rgb="0000823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39" Type="http://schemas.openxmlformats.org/officeDocument/2006/relationships/styles" Target="styles.xml"/><Relationship Id="rId38" Type="http://schemas.openxmlformats.org/officeDocument/2006/relationships/theme" Target="theme/theme1.xml"/><Relationship Id="rId37" Type="http://schemas.openxmlformats.org/officeDocument/2006/relationships/externalLink" Target="externalLinks/externalLink3.xml"/><Relationship Id="rId36" Type="http://schemas.openxmlformats.org/officeDocument/2006/relationships/externalLink" Target="externalLinks/externalLink2.xml"/><Relationship Id="rId35" Type="http://schemas.openxmlformats.org/officeDocument/2006/relationships/externalLink" Target="externalLinks/externalLink1.xml"/><Relationship Id="rId34" Type="http://schemas.openxmlformats.org/officeDocument/2006/relationships/customXml" Target="../customXml/item1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hyperlink" Target="#'&#30446;&#24405;&#65288;3&#65289;'!A1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hyperlink" Target="#'&#30446;&#24405;&#65288;3&#65289;'!A1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hyperlink" Target="#'&#30446;&#24405;&#65288;3&#65289;'!A1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hyperlink" Target="#'&#30446;&#24405;&#65288;3&#65289;'!A1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hyperlink" Target="#'&#30446;&#24405;&#65288;3&#65289;'!A1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hyperlink" Target="#'&#30446;&#24405;&#65288;3&#65289;'!A1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7" Type="http://schemas.openxmlformats.org/officeDocument/2006/relationships/image" Target="../media/image25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7" Type="http://schemas.openxmlformats.org/officeDocument/2006/relationships/image" Target="../media/image32.emf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vmlDrawing2.vml.rels><?xml version="1.0" encoding="UTF-8" standalone="yes"?>
<Relationships xmlns="http://schemas.openxmlformats.org/package/2006/relationships"><Relationship Id="rId7" Type="http://schemas.openxmlformats.org/officeDocument/2006/relationships/image" Target="../media/image18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vmlDrawing4.vml.rels><?xml version="1.0" encoding="UTF-8" standalone="yes"?>
<Relationships xmlns="http://schemas.openxmlformats.org/package/2006/relationships"><Relationship Id="rId9" Type="http://schemas.openxmlformats.org/officeDocument/2006/relationships/image" Target="../media/image44.emf"/><Relationship Id="rId8" Type="http://schemas.openxmlformats.org/officeDocument/2006/relationships/image" Target="../media/image43.emf"/><Relationship Id="rId7" Type="http://schemas.openxmlformats.org/officeDocument/2006/relationships/image" Target="../media/image42.emf"/><Relationship Id="rId6" Type="http://schemas.openxmlformats.org/officeDocument/2006/relationships/image" Target="../media/image41.emf"/><Relationship Id="rId5" Type="http://schemas.openxmlformats.org/officeDocument/2006/relationships/image" Target="../media/image40.emf"/><Relationship Id="rId4" Type="http://schemas.openxmlformats.org/officeDocument/2006/relationships/image" Target="../media/image39.emf"/><Relationship Id="rId3" Type="http://schemas.openxmlformats.org/officeDocument/2006/relationships/image" Target="../media/image38.emf"/><Relationship Id="rId2" Type="http://schemas.openxmlformats.org/officeDocument/2006/relationships/image" Target="../media/image37.emf"/><Relationship Id="rId19" Type="http://schemas.openxmlformats.org/officeDocument/2006/relationships/image" Target="../media/image54.emf"/><Relationship Id="rId18" Type="http://schemas.openxmlformats.org/officeDocument/2006/relationships/image" Target="../media/image53.emf"/><Relationship Id="rId17" Type="http://schemas.openxmlformats.org/officeDocument/2006/relationships/image" Target="../media/image52.emf"/><Relationship Id="rId16" Type="http://schemas.openxmlformats.org/officeDocument/2006/relationships/image" Target="../media/image51.emf"/><Relationship Id="rId15" Type="http://schemas.openxmlformats.org/officeDocument/2006/relationships/image" Target="../media/image50.emf"/><Relationship Id="rId14" Type="http://schemas.openxmlformats.org/officeDocument/2006/relationships/image" Target="../media/image49.emf"/><Relationship Id="rId13" Type="http://schemas.openxmlformats.org/officeDocument/2006/relationships/image" Target="../media/image48.emf"/><Relationship Id="rId12" Type="http://schemas.openxmlformats.org/officeDocument/2006/relationships/image" Target="../media/image47.emf"/><Relationship Id="rId11" Type="http://schemas.openxmlformats.org/officeDocument/2006/relationships/image" Target="../media/image46.emf"/><Relationship Id="rId10" Type="http://schemas.openxmlformats.org/officeDocument/2006/relationships/image" Target="../media/image45.emf"/><Relationship Id="rId1" Type="http://schemas.openxmlformats.org/officeDocument/2006/relationships/image" Target="../media/image36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11</xdr:col>
      <xdr:colOff>247650</xdr:colOff>
      <xdr:row>29</xdr:row>
      <xdr:rowOff>0</xdr:rowOff>
    </xdr:from>
    <xdr:ext cx="4838700" cy="2782691"/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549890" y="5082540"/>
          <a:ext cx="4838700" cy="2782570"/>
        </a:xfrm>
        <a:prstGeom prst="rect">
          <a:avLst/>
        </a:prstGeom>
      </xdr:spPr>
    </xdr:pic>
    <xdr:clientData/>
  </xdr:oneCellAnchor>
  <xdr:oneCellAnchor>
    <xdr:from>
      <xdr:col>12</xdr:col>
      <xdr:colOff>0</xdr:colOff>
      <xdr:row>71</xdr:row>
      <xdr:rowOff>0</xdr:rowOff>
    </xdr:from>
    <xdr:ext cx="4457700" cy="2567015"/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843260" y="12443460"/>
          <a:ext cx="4457700" cy="2566670"/>
        </a:xfrm>
        <a:prstGeom prst="rect">
          <a:avLst/>
        </a:prstGeom>
      </xdr:spPr>
    </xdr:pic>
    <xdr:clientData/>
  </xdr:oneCellAnchor>
  <xdr:oneCellAnchor>
    <xdr:from>
      <xdr:col>11</xdr:col>
      <xdr:colOff>24092</xdr:colOff>
      <xdr:row>94</xdr:row>
      <xdr:rowOff>47626</xdr:rowOff>
    </xdr:from>
    <xdr:ext cx="5321598" cy="2456105"/>
    <xdr:pic>
      <xdr:nvPicPr>
        <xdr:cNvPr id="4" name="图片 3" descr="Img2020062209503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325735" y="16522065"/>
          <a:ext cx="5321935" cy="2455545"/>
        </a:xfrm>
        <a:prstGeom prst="rect">
          <a:avLst/>
        </a:prstGeom>
      </xdr:spPr>
    </xdr:pic>
    <xdr:clientData/>
  </xdr:oneCellAnchor>
  <xdr:oneCellAnchor>
    <xdr:from>
      <xdr:col>11</xdr:col>
      <xdr:colOff>242941</xdr:colOff>
      <xdr:row>138</xdr:row>
      <xdr:rowOff>13447</xdr:rowOff>
    </xdr:from>
    <xdr:ext cx="4434207" cy="2091578"/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544810" y="24214455"/>
          <a:ext cx="4434205" cy="2091690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11</xdr:col>
      <xdr:colOff>228599</xdr:colOff>
      <xdr:row>151</xdr:row>
      <xdr:rowOff>114301</xdr:rowOff>
    </xdr:from>
    <xdr:ext cx="4483474" cy="1782380"/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530205" y="26593800"/>
          <a:ext cx="4483735" cy="1781810"/>
        </a:xfrm>
        <a:prstGeom prst="rect">
          <a:avLst/>
        </a:prstGeom>
      </xdr:spPr>
    </xdr:pic>
    <xdr:clientData/>
  </xdr:oneCellAnchor>
  <xdr:oneCellAnchor>
    <xdr:from>
      <xdr:col>11</xdr:col>
      <xdr:colOff>472754</xdr:colOff>
      <xdr:row>162</xdr:row>
      <xdr:rowOff>104025</xdr:rowOff>
    </xdr:from>
    <xdr:ext cx="3745005" cy="2332066"/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774680" y="28510865"/>
          <a:ext cx="3745230" cy="2332355"/>
        </a:xfrm>
        <a:prstGeom prst="rect">
          <a:avLst/>
        </a:prstGeom>
      </xdr:spPr>
    </xdr:pic>
    <xdr:clientData/>
  </xdr:oneCellAnchor>
  <xdr:oneCellAnchor>
    <xdr:from>
      <xdr:col>9</xdr:col>
      <xdr:colOff>168863</xdr:colOff>
      <xdr:row>178</xdr:row>
      <xdr:rowOff>16772</xdr:rowOff>
    </xdr:from>
    <xdr:ext cx="5398434" cy="2178334"/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388475" y="31243270"/>
          <a:ext cx="5398770" cy="2178050"/>
        </a:xfrm>
        <a:prstGeom prst="rect">
          <a:avLst/>
        </a:prstGeom>
      </xdr:spPr>
    </xdr:pic>
    <xdr:clientData/>
  </xdr:oneCellAnchor>
  <xdr:oneCellAnchor>
    <xdr:from>
      <xdr:col>18</xdr:col>
      <xdr:colOff>163185</xdr:colOff>
      <xdr:row>165</xdr:row>
      <xdr:rowOff>144764</xdr:rowOff>
    </xdr:from>
    <xdr:ext cx="3182471" cy="1824251"/>
    <xdr:pic>
      <xdr:nvPicPr>
        <xdr:cNvPr id="9" name="图片 8" descr="IMG2020628-08325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4251940" y="29077285"/>
          <a:ext cx="3182620" cy="1824355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29</xdr:col>
      <xdr:colOff>1266721</xdr:colOff>
      <xdr:row>0</xdr:row>
      <xdr:rowOff>0</xdr:rowOff>
    </xdr:from>
    <xdr:ext cx="0" cy="89460"/>
    <xdr:pic>
      <xdr:nvPicPr>
        <xdr:cNvPr id="2" name="Picture 173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2993310" y="0"/>
          <a:ext cx="0" cy="88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29</xdr:col>
      <xdr:colOff>0</xdr:colOff>
      <xdr:row>0</xdr:row>
      <xdr:rowOff>0</xdr:rowOff>
    </xdr:from>
    <xdr:ext cx="0" cy="89460"/>
    <xdr:pic>
      <xdr:nvPicPr>
        <xdr:cNvPr id="3" name="Picture 173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1727120" y="0"/>
          <a:ext cx="0" cy="88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2</xdr:row>
          <xdr:rowOff>449580</xdr:rowOff>
        </xdr:from>
        <xdr:to>
          <xdr:col>12</xdr:col>
          <xdr:colOff>1226820</xdr:colOff>
          <xdr:row>7</xdr:row>
          <xdr:rowOff>60960</xdr:rowOff>
        </xdr:to>
        <xdr:sp>
          <xdr:nvSpPr>
            <xdr:cNvPr id="26625" name="Object 63" hidden="1">
              <a:extLst>
                <a:ext uri="{63B3BB69-23CF-44E3-9099-C40C66FF867C}">
                  <a14:compatExt spid="_x0000_s26625"/>
                </a:ext>
              </a:extLst>
            </xdr:cNvPr>
            <xdr:cNvSpPr/>
          </xdr:nvSpPr>
          <xdr:spPr>
            <a:xfrm>
              <a:off x="19834860" y="880110"/>
              <a:ext cx="1226820" cy="93726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121920</xdr:colOff>
          <xdr:row>2</xdr:row>
          <xdr:rowOff>335280</xdr:rowOff>
        </xdr:from>
        <xdr:to>
          <xdr:col>14</xdr:col>
          <xdr:colOff>0</xdr:colOff>
          <xdr:row>7</xdr:row>
          <xdr:rowOff>121920</xdr:rowOff>
        </xdr:to>
        <xdr:sp>
          <xdr:nvSpPr>
            <xdr:cNvPr id="26626" name="Object 54" hidden="1">
              <a:extLst>
                <a:ext uri="{63B3BB69-23CF-44E3-9099-C40C66FF867C}">
                  <a14:compatExt spid="_x0000_s26626"/>
                </a:ext>
              </a:extLst>
            </xdr:cNvPr>
            <xdr:cNvSpPr/>
          </xdr:nvSpPr>
          <xdr:spPr>
            <a:xfrm>
              <a:off x="21374100" y="880110"/>
              <a:ext cx="1402080" cy="99822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60960</xdr:colOff>
          <xdr:row>2</xdr:row>
          <xdr:rowOff>502920</xdr:rowOff>
        </xdr:from>
        <xdr:to>
          <xdr:col>14</xdr:col>
          <xdr:colOff>0</xdr:colOff>
          <xdr:row>8</xdr:row>
          <xdr:rowOff>7620</xdr:rowOff>
        </xdr:to>
        <xdr:sp>
          <xdr:nvSpPr>
            <xdr:cNvPr id="26627" name="Object 26" hidden="1">
              <a:extLst>
                <a:ext uri="{63B3BB69-23CF-44E3-9099-C40C66FF867C}">
                  <a14:compatExt spid="_x0000_s26627"/>
                </a:ext>
              </a:extLst>
            </xdr:cNvPr>
            <xdr:cNvSpPr/>
          </xdr:nvSpPr>
          <xdr:spPr>
            <a:xfrm>
              <a:off x="21313140" y="880110"/>
              <a:ext cx="1463040" cy="110299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22</xdr:row>
          <xdr:rowOff>464820</xdr:rowOff>
        </xdr:from>
        <xdr:to>
          <xdr:col>12</xdr:col>
          <xdr:colOff>1104900</xdr:colOff>
          <xdr:row>27</xdr:row>
          <xdr:rowOff>83820</xdr:rowOff>
        </xdr:to>
        <xdr:sp>
          <xdr:nvSpPr>
            <xdr:cNvPr id="26628" name="Object 70" hidden="1">
              <a:extLst>
                <a:ext uri="{63B3BB69-23CF-44E3-9099-C40C66FF867C}">
                  <a14:compatExt spid="_x0000_s26628"/>
                </a:ext>
              </a:extLst>
            </xdr:cNvPr>
            <xdr:cNvSpPr/>
          </xdr:nvSpPr>
          <xdr:spPr>
            <a:xfrm>
              <a:off x="19834860" y="5261610"/>
              <a:ext cx="1104900" cy="96012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24</xdr:row>
          <xdr:rowOff>464820</xdr:rowOff>
        </xdr:from>
        <xdr:to>
          <xdr:col>12</xdr:col>
          <xdr:colOff>1104900</xdr:colOff>
          <xdr:row>29</xdr:row>
          <xdr:rowOff>83820</xdr:rowOff>
        </xdr:to>
        <xdr:sp>
          <xdr:nvSpPr>
            <xdr:cNvPr id="26629" name="Object 70" hidden="1">
              <a:extLst>
                <a:ext uri="{63B3BB69-23CF-44E3-9099-C40C66FF867C}">
                  <a14:compatExt spid="_x0000_s26629"/>
                </a:ext>
              </a:extLst>
            </xdr:cNvPr>
            <xdr:cNvSpPr/>
          </xdr:nvSpPr>
          <xdr:spPr>
            <a:xfrm>
              <a:off x="19834860" y="5699760"/>
              <a:ext cx="1104900" cy="96012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121920</xdr:colOff>
          <xdr:row>24</xdr:row>
          <xdr:rowOff>342900</xdr:rowOff>
        </xdr:from>
        <xdr:to>
          <xdr:col>13</xdr:col>
          <xdr:colOff>1264920</xdr:colOff>
          <xdr:row>29</xdr:row>
          <xdr:rowOff>182880</xdr:rowOff>
        </xdr:to>
        <xdr:sp>
          <xdr:nvSpPr>
            <xdr:cNvPr id="26630" name="Object 56" hidden="1">
              <a:extLst>
                <a:ext uri="{63B3BB69-23CF-44E3-9099-C40C66FF867C}">
                  <a14:compatExt spid="_x0000_s26630"/>
                </a:ext>
              </a:extLst>
            </xdr:cNvPr>
            <xdr:cNvSpPr/>
          </xdr:nvSpPr>
          <xdr:spPr>
            <a:xfrm>
              <a:off x="21374100" y="5699760"/>
              <a:ext cx="1143000" cy="105918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45720</xdr:colOff>
          <xdr:row>24</xdr:row>
          <xdr:rowOff>403860</xdr:rowOff>
        </xdr:from>
        <xdr:to>
          <xdr:col>13</xdr:col>
          <xdr:colOff>1303020</xdr:colOff>
          <xdr:row>30</xdr:row>
          <xdr:rowOff>137160</xdr:rowOff>
        </xdr:to>
        <xdr:sp>
          <xdr:nvSpPr>
            <xdr:cNvPr id="26631" name="Object 28" hidden="1">
              <a:extLst>
                <a:ext uri="{63B3BB69-23CF-44E3-9099-C40C66FF867C}">
                  <a14:compatExt spid="_x0000_s26631"/>
                </a:ext>
              </a:extLst>
            </xdr:cNvPr>
            <xdr:cNvSpPr/>
          </xdr:nvSpPr>
          <xdr:spPr>
            <a:xfrm>
              <a:off x="21297900" y="5699760"/>
              <a:ext cx="1257300" cy="123253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38</xdr:row>
          <xdr:rowOff>838200</xdr:rowOff>
        </xdr:from>
        <xdr:to>
          <xdr:col>12</xdr:col>
          <xdr:colOff>1104900</xdr:colOff>
          <xdr:row>43</xdr:row>
          <xdr:rowOff>121920</xdr:rowOff>
        </xdr:to>
        <xdr:sp>
          <xdr:nvSpPr>
            <xdr:cNvPr id="26632" name="Object 66" hidden="1">
              <a:extLst>
                <a:ext uri="{63B3BB69-23CF-44E3-9099-C40C66FF867C}">
                  <a14:compatExt spid="_x0000_s26632"/>
                </a:ext>
              </a:extLst>
            </xdr:cNvPr>
            <xdr:cNvSpPr/>
          </xdr:nvSpPr>
          <xdr:spPr>
            <a:xfrm>
              <a:off x="19834860" y="8766810"/>
              <a:ext cx="1104900" cy="99822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83820</xdr:colOff>
          <xdr:row>38</xdr:row>
          <xdr:rowOff>822960</xdr:rowOff>
        </xdr:from>
        <xdr:to>
          <xdr:col>13</xdr:col>
          <xdr:colOff>1257300</xdr:colOff>
          <xdr:row>43</xdr:row>
          <xdr:rowOff>182880</xdr:rowOff>
        </xdr:to>
        <xdr:sp>
          <xdr:nvSpPr>
            <xdr:cNvPr id="26633" name="Object 57" hidden="1">
              <a:extLst>
                <a:ext uri="{63B3BB69-23CF-44E3-9099-C40C66FF867C}">
                  <a14:compatExt spid="_x0000_s26633"/>
                </a:ext>
              </a:extLst>
            </xdr:cNvPr>
            <xdr:cNvSpPr/>
          </xdr:nvSpPr>
          <xdr:spPr>
            <a:xfrm>
              <a:off x="21336000" y="8766810"/>
              <a:ext cx="1173480" cy="105918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45720</xdr:colOff>
          <xdr:row>38</xdr:row>
          <xdr:rowOff>784860</xdr:rowOff>
        </xdr:from>
        <xdr:to>
          <xdr:col>13</xdr:col>
          <xdr:colOff>1303020</xdr:colOff>
          <xdr:row>44</xdr:row>
          <xdr:rowOff>38100</xdr:rowOff>
        </xdr:to>
        <xdr:sp>
          <xdr:nvSpPr>
            <xdr:cNvPr id="26634" name="Object 29" hidden="1">
              <a:extLst>
                <a:ext uri="{63B3BB69-23CF-44E3-9099-C40C66FF867C}">
                  <a14:compatExt spid="_x0000_s26634"/>
                </a:ext>
              </a:extLst>
            </xdr:cNvPr>
            <xdr:cNvSpPr/>
          </xdr:nvSpPr>
          <xdr:spPr>
            <a:xfrm>
              <a:off x="21297900" y="8766810"/>
              <a:ext cx="1257300" cy="113347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48</xdr:row>
          <xdr:rowOff>0</xdr:rowOff>
        </xdr:from>
        <xdr:to>
          <xdr:col>12</xdr:col>
          <xdr:colOff>1104900</xdr:colOff>
          <xdr:row>52</xdr:row>
          <xdr:rowOff>83820</xdr:rowOff>
        </xdr:to>
        <xdr:sp>
          <xdr:nvSpPr>
            <xdr:cNvPr id="26635" name="Object 67" hidden="1">
              <a:extLst>
                <a:ext uri="{63B3BB69-23CF-44E3-9099-C40C66FF867C}">
                  <a14:compatExt spid="_x0000_s26635"/>
                </a:ext>
              </a:extLst>
            </xdr:cNvPr>
            <xdr:cNvSpPr/>
          </xdr:nvSpPr>
          <xdr:spPr>
            <a:xfrm>
              <a:off x="19834860" y="10738485"/>
              <a:ext cx="1104900" cy="9620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83820</xdr:colOff>
          <xdr:row>48</xdr:row>
          <xdr:rowOff>0</xdr:rowOff>
        </xdr:from>
        <xdr:to>
          <xdr:col>13</xdr:col>
          <xdr:colOff>1264920</xdr:colOff>
          <xdr:row>52</xdr:row>
          <xdr:rowOff>182880</xdr:rowOff>
        </xdr:to>
        <xdr:sp>
          <xdr:nvSpPr>
            <xdr:cNvPr id="26636" name="Object 61" hidden="1">
              <a:extLst>
                <a:ext uri="{63B3BB69-23CF-44E3-9099-C40C66FF867C}">
                  <a14:compatExt spid="_x0000_s26636"/>
                </a:ext>
              </a:extLst>
            </xdr:cNvPr>
            <xdr:cNvSpPr/>
          </xdr:nvSpPr>
          <xdr:spPr>
            <a:xfrm>
              <a:off x="21336000" y="10738485"/>
              <a:ext cx="1181100" cy="106108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38100</xdr:colOff>
          <xdr:row>48</xdr:row>
          <xdr:rowOff>0</xdr:rowOff>
        </xdr:from>
        <xdr:to>
          <xdr:col>13</xdr:col>
          <xdr:colOff>1356360</xdr:colOff>
          <xdr:row>53</xdr:row>
          <xdr:rowOff>68580</xdr:rowOff>
        </xdr:to>
        <xdr:sp>
          <xdr:nvSpPr>
            <xdr:cNvPr id="26637" name="Object 30" hidden="1">
              <a:extLst>
                <a:ext uri="{63B3BB69-23CF-44E3-9099-C40C66FF867C}">
                  <a14:compatExt spid="_x0000_s26637"/>
                </a:ext>
              </a:extLst>
            </xdr:cNvPr>
            <xdr:cNvSpPr/>
          </xdr:nvSpPr>
          <xdr:spPr>
            <a:xfrm>
              <a:off x="21290280" y="10738485"/>
              <a:ext cx="1318260" cy="116776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48</xdr:row>
          <xdr:rowOff>1089660</xdr:rowOff>
        </xdr:from>
        <xdr:to>
          <xdr:col>12</xdr:col>
          <xdr:colOff>1104900</xdr:colOff>
          <xdr:row>53</xdr:row>
          <xdr:rowOff>106680</xdr:rowOff>
        </xdr:to>
        <xdr:sp>
          <xdr:nvSpPr>
            <xdr:cNvPr id="26638" name="Object 72" hidden="1">
              <a:extLst>
                <a:ext uri="{63B3BB69-23CF-44E3-9099-C40C66FF867C}">
                  <a14:compatExt spid="_x0000_s26638"/>
                </a:ext>
              </a:extLst>
            </xdr:cNvPr>
            <xdr:cNvSpPr/>
          </xdr:nvSpPr>
          <xdr:spPr>
            <a:xfrm>
              <a:off x="19834860" y="10957560"/>
              <a:ext cx="1104900" cy="98679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106680</xdr:colOff>
          <xdr:row>48</xdr:row>
          <xdr:rowOff>1089660</xdr:rowOff>
        </xdr:from>
        <xdr:to>
          <xdr:col>13</xdr:col>
          <xdr:colOff>1257300</xdr:colOff>
          <xdr:row>53</xdr:row>
          <xdr:rowOff>198120</xdr:rowOff>
        </xdr:to>
        <xdr:sp>
          <xdr:nvSpPr>
            <xdr:cNvPr id="26639" name="Object 59" hidden="1">
              <a:extLst>
                <a:ext uri="{63B3BB69-23CF-44E3-9099-C40C66FF867C}">
                  <a14:compatExt spid="_x0000_s26639"/>
                </a:ext>
              </a:extLst>
            </xdr:cNvPr>
            <xdr:cNvSpPr/>
          </xdr:nvSpPr>
          <xdr:spPr>
            <a:xfrm>
              <a:off x="21358860" y="10957560"/>
              <a:ext cx="1150620" cy="107823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68580</xdr:colOff>
          <xdr:row>48</xdr:row>
          <xdr:rowOff>990600</xdr:rowOff>
        </xdr:from>
        <xdr:to>
          <xdr:col>13</xdr:col>
          <xdr:colOff>1303020</xdr:colOff>
          <xdr:row>54</xdr:row>
          <xdr:rowOff>45720</xdr:rowOff>
        </xdr:to>
        <xdr:sp>
          <xdr:nvSpPr>
            <xdr:cNvPr id="26640" name="Object 31" hidden="1">
              <a:extLst>
                <a:ext uri="{63B3BB69-23CF-44E3-9099-C40C66FF867C}">
                  <a14:compatExt spid="_x0000_s26640"/>
                </a:ext>
              </a:extLst>
            </xdr:cNvPr>
            <xdr:cNvSpPr/>
          </xdr:nvSpPr>
          <xdr:spPr>
            <a:xfrm>
              <a:off x="21320760" y="10957560"/>
              <a:ext cx="1234440" cy="114681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58</xdr:row>
          <xdr:rowOff>876300</xdr:rowOff>
        </xdr:from>
        <xdr:to>
          <xdr:col>12</xdr:col>
          <xdr:colOff>1104900</xdr:colOff>
          <xdr:row>62</xdr:row>
          <xdr:rowOff>160020</xdr:rowOff>
        </xdr:to>
        <xdr:sp>
          <xdr:nvSpPr>
            <xdr:cNvPr id="26641" name="Object 69" hidden="1">
              <a:extLst>
                <a:ext uri="{63B3BB69-23CF-44E3-9099-C40C66FF867C}">
                  <a14:compatExt spid="_x0000_s26641"/>
                </a:ext>
              </a:extLst>
            </xdr:cNvPr>
            <xdr:cNvSpPr/>
          </xdr:nvSpPr>
          <xdr:spPr>
            <a:xfrm>
              <a:off x="19834860" y="13235940"/>
              <a:ext cx="1104900" cy="93154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76200</xdr:colOff>
          <xdr:row>58</xdr:row>
          <xdr:rowOff>800100</xdr:rowOff>
        </xdr:from>
        <xdr:to>
          <xdr:col>13</xdr:col>
          <xdr:colOff>1303020</xdr:colOff>
          <xdr:row>63</xdr:row>
          <xdr:rowOff>60960</xdr:rowOff>
        </xdr:to>
        <xdr:sp>
          <xdr:nvSpPr>
            <xdr:cNvPr id="26642" name="Object 60" hidden="1">
              <a:extLst>
                <a:ext uri="{63B3BB69-23CF-44E3-9099-C40C66FF867C}">
                  <a14:compatExt spid="_x0000_s26642"/>
                </a:ext>
              </a:extLst>
            </xdr:cNvPr>
            <xdr:cNvSpPr/>
          </xdr:nvSpPr>
          <xdr:spPr>
            <a:xfrm>
              <a:off x="21328380" y="13235940"/>
              <a:ext cx="1226820" cy="108966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38100</xdr:colOff>
          <xdr:row>58</xdr:row>
          <xdr:rowOff>769620</xdr:rowOff>
        </xdr:from>
        <xdr:to>
          <xdr:col>13</xdr:col>
          <xdr:colOff>1303020</xdr:colOff>
          <xdr:row>63</xdr:row>
          <xdr:rowOff>106680</xdr:rowOff>
        </xdr:to>
        <xdr:sp>
          <xdr:nvSpPr>
            <xdr:cNvPr id="26643" name="Object 32" hidden="1">
              <a:extLst>
                <a:ext uri="{63B3BB69-23CF-44E3-9099-C40C66FF867C}">
                  <a14:compatExt spid="_x0000_s26643"/>
                </a:ext>
              </a:extLst>
            </xdr:cNvPr>
            <xdr:cNvSpPr/>
          </xdr:nvSpPr>
          <xdr:spPr>
            <a:xfrm>
              <a:off x="21290280" y="13235940"/>
              <a:ext cx="1264920" cy="113538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60960</xdr:colOff>
          <xdr:row>58</xdr:row>
          <xdr:rowOff>769620</xdr:rowOff>
        </xdr:from>
        <xdr:to>
          <xdr:col>14</xdr:col>
          <xdr:colOff>1356360</xdr:colOff>
          <xdr:row>63</xdr:row>
          <xdr:rowOff>83820</xdr:rowOff>
        </xdr:to>
        <xdr:sp>
          <xdr:nvSpPr>
            <xdr:cNvPr id="26644" name="Object 39" hidden="1">
              <a:extLst>
                <a:ext uri="{63B3BB69-23CF-44E3-9099-C40C66FF867C}">
                  <a14:compatExt spid="_x0000_s26644"/>
                </a:ext>
              </a:extLst>
            </xdr:cNvPr>
            <xdr:cNvSpPr/>
          </xdr:nvSpPr>
          <xdr:spPr>
            <a:xfrm>
              <a:off x="22837140" y="13235940"/>
              <a:ext cx="1295400" cy="111252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2</xdr:row>
          <xdr:rowOff>449580</xdr:rowOff>
        </xdr:from>
        <xdr:to>
          <xdr:col>12</xdr:col>
          <xdr:colOff>1318260</xdr:colOff>
          <xdr:row>7</xdr:row>
          <xdr:rowOff>60960</xdr:rowOff>
        </xdr:to>
        <xdr:sp>
          <xdr:nvSpPr>
            <xdr:cNvPr id="26649" name="Object 63" hidden="1">
              <a:extLst>
                <a:ext uri="{63B3BB69-23CF-44E3-9099-C40C66FF867C}">
                  <a14:compatExt spid="_x0000_s26649"/>
                </a:ext>
              </a:extLst>
            </xdr:cNvPr>
            <xdr:cNvSpPr/>
          </xdr:nvSpPr>
          <xdr:spPr>
            <a:xfrm>
              <a:off x="19834860" y="880110"/>
              <a:ext cx="1318260" cy="93726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121920</xdr:colOff>
          <xdr:row>2</xdr:row>
          <xdr:rowOff>335280</xdr:rowOff>
        </xdr:from>
        <xdr:to>
          <xdr:col>14</xdr:col>
          <xdr:colOff>0</xdr:colOff>
          <xdr:row>7</xdr:row>
          <xdr:rowOff>121920</xdr:rowOff>
        </xdr:to>
        <xdr:sp>
          <xdr:nvSpPr>
            <xdr:cNvPr id="26650" name="Object 54" hidden="1">
              <a:extLst>
                <a:ext uri="{63B3BB69-23CF-44E3-9099-C40C66FF867C}">
                  <a14:compatExt spid="_x0000_s26650"/>
                </a:ext>
              </a:extLst>
            </xdr:cNvPr>
            <xdr:cNvSpPr/>
          </xdr:nvSpPr>
          <xdr:spPr>
            <a:xfrm>
              <a:off x="21374100" y="880110"/>
              <a:ext cx="1402080" cy="99822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60960</xdr:colOff>
          <xdr:row>2</xdr:row>
          <xdr:rowOff>502920</xdr:rowOff>
        </xdr:from>
        <xdr:to>
          <xdr:col>14</xdr:col>
          <xdr:colOff>0</xdr:colOff>
          <xdr:row>8</xdr:row>
          <xdr:rowOff>7620</xdr:rowOff>
        </xdr:to>
        <xdr:sp>
          <xdr:nvSpPr>
            <xdr:cNvPr id="26651" name="Object 26" hidden="1">
              <a:extLst>
                <a:ext uri="{63B3BB69-23CF-44E3-9099-C40C66FF867C}">
                  <a14:compatExt spid="_x0000_s26651"/>
                </a:ext>
              </a:extLst>
            </xdr:cNvPr>
            <xdr:cNvSpPr/>
          </xdr:nvSpPr>
          <xdr:spPr>
            <a:xfrm>
              <a:off x="21313140" y="880110"/>
              <a:ext cx="1463040" cy="110299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0</xdr:colOff>
          <xdr:row>2</xdr:row>
          <xdr:rowOff>449580</xdr:rowOff>
        </xdr:from>
        <xdr:to>
          <xdr:col>12</xdr:col>
          <xdr:colOff>1226820</xdr:colOff>
          <xdr:row>7</xdr:row>
          <xdr:rowOff>60960</xdr:rowOff>
        </xdr:to>
        <xdr:sp>
          <xdr:nvSpPr>
            <xdr:cNvPr id="26652" name="Object 28" hidden="1">
              <a:extLst>
                <a:ext uri="{63B3BB69-23CF-44E3-9099-C40C66FF867C}">
                  <a14:compatExt spid="_x0000_s26652"/>
                </a:ext>
              </a:extLst>
            </xdr:cNvPr>
            <xdr:cNvSpPr/>
          </xdr:nvSpPr>
          <xdr:spPr>
            <a:xfrm>
              <a:off x="19834860" y="880110"/>
              <a:ext cx="1226820" cy="93726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121920</xdr:colOff>
          <xdr:row>2</xdr:row>
          <xdr:rowOff>335280</xdr:rowOff>
        </xdr:from>
        <xdr:to>
          <xdr:col>14</xdr:col>
          <xdr:colOff>0</xdr:colOff>
          <xdr:row>7</xdr:row>
          <xdr:rowOff>121920</xdr:rowOff>
        </xdr:to>
        <xdr:sp>
          <xdr:nvSpPr>
            <xdr:cNvPr id="26653" name="Object 29" hidden="1">
              <a:extLst>
                <a:ext uri="{63B3BB69-23CF-44E3-9099-C40C66FF867C}">
                  <a14:compatExt spid="_x0000_s26653"/>
                </a:ext>
              </a:extLst>
            </xdr:cNvPr>
            <xdr:cNvSpPr/>
          </xdr:nvSpPr>
          <xdr:spPr>
            <a:xfrm>
              <a:off x="21374100" y="880110"/>
              <a:ext cx="1402080" cy="99822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60960</xdr:colOff>
          <xdr:row>2</xdr:row>
          <xdr:rowOff>502920</xdr:rowOff>
        </xdr:from>
        <xdr:to>
          <xdr:col>14</xdr:col>
          <xdr:colOff>0</xdr:colOff>
          <xdr:row>8</xdr:row>
          <xdr:rowOff>7620</xdr:rowOff>
        </xdr:to>
        <xdr:sp>
          <xdr:nvSpPr>
            <xdr:cNvPr id="26654" name="Object 30" hidden="1">
              <a:extLst>
                <a:ext uri="{63B3BB69-23CF-44E3-9099-C40C66FF867C}">
                  <a14:compatExt spid="_x0000_s26654"/>
                </a:ext>
              </a:extLst>
            </xdr:cNvPr>
            <xdr:cNvSpPr/>
          </xdr:nvSpPr>
          <xdr:spPr>
            <a:xfrm>
              <a:off x="21313140" y="880110"/>
              <a:ext cx="1463040" cy="1102995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47625</xdr:colOff>
      <xdr:row>67</xdr:row>
      <xdr:rowOff>28575</xdr:rowOff>
    </xdr:from>
    <xdr:to>
      <xdr:col>2</xdr:col>
      <xdr:colOff>438150</xdr:colOff>
      <xdr:row>68</xdr:row>
      <xdr:rowOff>228600</xdr:rowOff>
    </xdr:to>
    <xdr:sp>
      <xdr:nvSpPr>
        <xdr:cNvPr id="2" name="圆角矩形 1"/>
        <xdr:cNvSpPr/>
      </xdr:nvSpPr>
      <xdr:spPr>
        <a:xfrm>
          <a:off x="253365" y="12388215"/>
          <a:ext cx="1000125" cy="346710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保密等级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</a:t>
          </a:r>
          <a:r>
            <a:rPr lang="en-US" altLang="zh-CN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机密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9</xdr:col>
      <xdr:colOff>2143125</xdr:colOff>
      <xdr:row>67</xdr:row>
      <xdr:rowOff>19050</xdr:rowOff>
    </xdr:from>
    <xdr:to>
      <xdr:col>9</xdr:col>
      <xdr:colOff>3352800</xdr:colOff>
      <xdr:row>68</xdr:row>
      <xdr:rowOff>219075</xdr:rowOff>
    </xdr:to>
    <xdr:sp>
      <xdr:nvSpPr>
        <xdr:cNvPr id="3" name="圆角矩形 2">
          <a:hlinkClick xmlns:r="http://schemas.openxmlformats.org/officeDocument/2006/relationships" r:id="rId1"/>
        </xdr:cNvPr>
        <xdr:cNvSpPr/>
      </xdr:nvSpPr>
      <xdr:spPr>
        <a:xfrm>
          <a:off x="9900285" y="12378690"/>
          <a:ext cx="1209675" cy="356235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返回目录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14</xdr:col>
      <xdr:colOff>1114425</xdr:colOff>
      <xdr:row>23</xdr:row>
      <xdr:rowOff>19050</xdr:rowOff>
    </xdr:from>
    <xdr:to>
      <xdr:col>14</xdr:col>
      <xdr:colOff>2324100</xdr:colOff>
      <xdr:row>24</xdr:row>
      <xdr:rowOff>152400</xdr:rowOff>
    </xdr:to>
    <xdr:sp>
      <xdr:nvSpPr>
        <xdr:cNvPr id="2" name="圆角矩形 1">
          <a:hlinkClick xmlns:r="http://schemas.openxmlformats.org/officeDocument/2006/relationships" r:id="rId1"/>
        </xdr:cNvPr>
        <xdr:cNvSpPr/>
      </xdr:nvSpPr>
      <xdr:spPr>
        <a:xfrm>
          <a:off x="12626340" y="8694420"/>
          <a:ext cx="0" cy="316230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返回目录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</xdr:col>
      <xdr:colOff>47625</xdr:colOff>
      <xdr:row>22</xdr:row>
      <xdr:rowOff>104775</xdr:rowOff>
    </xdr:from>
    <xdr:to>
      <xdr:col>2</xdr:col>
      <xdr:colOff>428625</xdr:colOff>
      <xdr:row>24</xdr:row>
      <xdr:rowOff>133350</xdr:rowOff>
    </xdr:to>
    <xdr:sp>
      <xdr:nvSpPr>
        <xdr:cNvPr id="3" name="圆角矩形 2"/>
        <xdr:cNvSpPr/>
      </xdr:nvSpPr>
      <xdr:spPr>
        <a:xfrm>
          <a:off x="314325" y="8597265"/>
          <a:ext cx="990600" cy="394335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保密等级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</a:t>
          </a:r>
          <a:r>
            <a:rPr lang="en-US" altLang="zh-CN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机密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47625</xdr:colOff>
      <xdr:row>60</xdr:row>
      <xdr:rowOff>123825</xdr:rowOff>
    </xdr:from>
    <xdr:to>
      <xdr:col>2</xdr:col>
      <xdr:colOff>514350</xdr:colOff>
      <xdr:row>61</xdr:row>
      <xdr:rowOff>285750</xdr:rowOff>
    </xdr:to>
    <xdr:sp>
      <xdr:nvSpPr>
        <xdr:cNvPr id="2" name="圆角矩形 1"/>
        <xdr:cNvSpPr/>
      </xdr:nvSpPr>
      <xdr:spPr>
        <a:xfrm>
          <a:off x="314325" y="13910310"/>
          <a:ext cx="1381125" cy="281940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保密等级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</a:t>
          </a:r>
          <a:r>
            <a:rPr lang="en-US" altLang="zh-CN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机密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18</xdr:col>
      <xdr:colOff>0</xdr:colOff>
      <xdr:row>60</xdr:row>
      <xdr:rowOff>123825</xdr:rowOff>
    </xdr:from>
    <xdr:to>
      <xdr:col>18</xdr:col>
      <xdr:colOff>809625</xdr:colOff>
      <xdr:row>61</xdr:row>
      <xdr:rowOff>285750</xdr:rowOff>
    </xdr:to>
    <xdr:sp>
      <xdr:nvSpPr>
        <xdr:cNvPr id="3" name="圆角矩形 2">
          <a:hlinkClick xmlns:r="http://schemas.openxmlformats.org/officeDocument/2006/relationships" r:id="rId1"/>
        </xdr:cNvPr>
        <xdr:cNvSpPr/>
      </xdr:nvSpPr>
      <xdr:spPr>
        <a:xfrm>
          <a:off x="15598140" y="13910310"/>
          <a:ext cx="609600" cy="281940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返回目录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44824</xdr:colOff>
      <xdr:row>21</xdr:row>
      <xdr:rowOff>0</xdr:rowOff>
    </xdr:from>
    <xdr:to>
      <xdr:col>0</xdr:col>
      <xdr:colOff>1254499</xdr:colOff>
      <xdr:row>22</xdr:row>
      <xdr:rowOff>166407</xdr:rowOff>
    </xdr:to>
    <xdr:sp>
      <xdr:nvSpPr>
        <xdr:cNvPr id="2" name="圆角矩形 1"/>
        <xdr:cNvSpPr/>
      </xdr:nvSpPr>
      <xdr:spPr>
        <a:xfrm>
          <a:off x="44450" y="15104745"/>
          <a:ext cx="984250" cy="387350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保密等级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</a:t>
          </a:r>
          <a:r>
            <a:rPr lang="en-US" altLang="zh-CN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机密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11</xdr:col>
      <xdr:colOff>201708</xdr:colOff>
      <xdr:row>21</xdr:row>
      <xdr:rowOff>67236</xdr:rowOff>
    </xdr:from>
    <xdr:to>
      <xdr:col>11</xdr:col>
      <xdr:colOff>1411383</xdr:colOff>
      <xdr:row>22</xdr:row>
      <xdr:rowOff>166967</xdr:rowOff>
    </xdr:to>
    <xdr:sp>
      <xdr:nvSpPr>
        <xdr:cNvPr id="3" name="圆角矩形 2">
          <a:hlinkClick xmlns:r="http://schemas.openxmlformats.org/officeDocument/2006/relationships" r:id="rId1"/>
        </xdr:cNvPr>
        <xdr:cNvSpPr/>
      </xdr:nvSpPr>
      <xdr:spPr>
        <a:xfrm>
          <a:off x="9855835" y="15171420"/>
          <a:ext cx="415925" cy="320675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返回目录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44824</xdr:colOff>
      <xdr:row>16</xdr:row>
      <xdr:rowOff>0</xdr:rowOff>
    </xdr:from>
    <xdr:to>
      <xdr:col>0</xdr:col>
      <xdr:colOff>1254499</xdr:colOff>
      <xdr:row>17</xdr:row>
      <xdr:rowOff>166407</xdr:rowOff>
    </xdr:to>
    <xdr:sp>
      <xdr:nvSpPr>
        <xdr:cNvPr id="2" name="圆角矩形 1"/>
        <xdr:cNvSpPr/>
      </xdr:nvSpPr>
      <xdr:spPr>
        <a:xfrm>
          <a:off x="44450" y="6638925"/>
          <a:ext cx="1209675" cy="396875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保密等级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</a:t>
          </a:r>
          <a:r>
            <a:rPr lang="en-US" altLang="zh-CN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机密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12</xdr:col>
      <xdr:colOff>201708</xdr:colOff>
      <xdr:row>15</xdr:row>
      <xdr:rowOff>67236</xdr:rowOff>
    </xdr:from>
    <xdr:to>
      <xdr:col>12</xdr:col>
      <xdr:colOff>1411383</xdr:colOff>
      <xdr:row>16</xdr:row>
      <xdr:rowOff>166967</xdr:rowOff>
    </xdr:to>
    <xdr:sp>
      <xdr:nvSpPr>
        <xdr:cNvPr id="3" name="圆角矩形 2">
          <a:hlinkClick xmlns:r="http://schemas.openxmlformats.org/officeDocument/2006/relationships" r:id="rId1"/>
        </xdr:cNvPr>
        <xdr:cNvSpPr/>
      </xdr:nvSpPr>
      <xdr:spPr>
        <a:xfrm>
          <a:off x="15875635" y="6484620"/>
          <a:ext cx="1209675" cy="320675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返回目录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44824</xdr:colOff>
      <xdr:row>8</xdr:row>
      <xdr:rowOff>0</xdr:rowOff>
    </xdr:from>
    <xdr:to>
      <xdr:col>0</xdr:col>
      <xdr:colOff>1254499</xdr:colOff>
      <xdr:row>9</xdr:row>
      <xdr:rowOff>166407</xdr:rowOff>
    </xdr:to>
    <xdr:sp>
      <xdr:nvSpPr>
        <xdr:cNvPr id="2" name="圆角矩形 1"/>
        <xdr:cNvSpPr/>
      </xdr:nvSpPr>
      <xdr:spPr>
        <a:xfrm>
          <a:off x="44450" y="3545205"/>
          <a:ext cx="1209675" cy="387350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保密等级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 </a:t>
          </a:r>
          <a:r>
            <a:rPr lang="en-US" altLang="zh-CN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-</a:t>
          </a:r>
          <a:r>
            <a:rPr lang="zh-CN" altLang="en-US" sz="1100" b="1" baseline="0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机密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12</xdr:col>
      <xdr:colOff>201708</xdr:colOff>
      <xdr:row>8</xdr:row>
      <xdr:rowOff>67236</xdr:rowOff>
    </xdr:from>
    <xdr:to>
      <xdr:col>12</xdr:col>
      <xdr:colOff>1411383</xdr:colOff>
      <xdr:row>9</xdr:row>
      <xdr:rowOff>166967</xdr:rowOff>
    </xdr:to>
    <xdr:sp>
      <xdr:nvSpPr>
        <xdr:cNvPr id="3" name="圆角矩形 2">
          <a:hlinkClick xmlns:r="http://schemas.openxmlformats.org/officeDocument/2006/relationships" r:id="rId1"/>
        </xdr:cNvPr>
        <xdr:cNvSpPr/>
      </xdr:nvSpPr>
      <xdr:spPr>
        <a:xfrm>
          <a:off x="10274935" y="3611880"/>
          <a:ext cx="415925" cy="320675"/>
        </a:xfrm>
        <a:prstGeom prst="roundRect">
          <a:avLst/>
        </a:prstGeom>
        <a:gradFill flip="none" rotWithShape="1">
          <a:gsLst>
            <a:gs pos="0">
              <a:schemeClr val="accent1">
                <a:tint val="66000"/>
                <a:satMod val="160000"/>
              </a:schemeClr>
            </a:gs>
            <a:gs pos="50000">
              <a:schemeClr val="accent1">
                <a:tint val="44500"/>
                <a:satMod val="160000"/>
              </a:schemeClr>
            </a:gs>
            <a:gs pos="100000">
              <a:schemeClr val="accent1">
                <a:tint val="23500"/>
                <a:satMod val="160000"/>
              </a:schemeClr>
            </a:gs>
          </a:gsLst>
          <a:lin ang="27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chemeClr val="tx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返回目录</a:t>
          </a:r>
          <a:endParaRPr lang="zh-CN" altLang="en-US" sz="1100" b="1">
            <a:solidFill>
              <a:schemeClr val="tx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113368</xdr:colOff>
      <xdr:row>16</xdr:row>
      <xdr:rowOff>80886</xdr:rowOff>
    </xdr:from>
    <xdr:to>
      <xdr:col>10</xdr:col>
      <xdr:colOff>180041</xdr:colOff>
      <xdr:row>25</xdr:row>
      <xdr:rowOff>170572</xdr:rowOff>
    </xdr:to>
    <xdr:pic>
      <xdr:nvPicPr>
        <xdr:cNvPr id="2" name="图片 1"/>
        <xdr:cNvPicPr>
          <a:picLocks noChangeAspect="1" noChangeArrowheads="1"/>
        </xdr:cNvPicPr>
      </xdr:nvPicPr>
      <xdr:blipFill>
        <a:blip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8677910" y="3422015"/>
          <a:ext cx="2398395" cy="1857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68355</xdr:colOff>
      <xdr:row>16</xdr:row>
      <xdr:rowOff>140073</xdr:rowOff>
    </xdr:from>
    <xdr:to>
      <xdr:col>15</xdr:col>
      <xdr:colOff>570006</xdr:colOff>
      <xdr:row>25</xdr:row>
      <xdr:rowOff>41835</xdr:rowOff>
    </xdr:to>
    <xdr:grpSp>
      <xdr:nvGrpSpPr>
        <xdr:cNvPr id="14" name="群組 13"/>
        <xdr:cNvGrpSpPr/>
      </xdr:nvGrpSpPr>
      <xdr:grpSpPr>
        <a:xfrm>
          <a:off x="11917045" y="3481070"/>
          <a:ext cx="3511550" cy="1669415"/>
          <a:chOff x="9937749" y="2692400"/>
          <a:chExt cx="3263901" cy="1955800"/>
        </a:xfrm>
      </xdr:grpSpPr>
      <xdr:grpSp>
        <xdr:nvGrpSpPr>
          <xdr:cNvPr id="3" name="组合 2"/>
          <xdr:cNvGrpSpPr/>
        </xdr:nvGrpSpPr>
        <xdr:grpSpPr>
          <a:xfrm>
            <a:off x="10172701" y="2692400"/>
            <a:ext cx="2806700" cy="1955800"/>
            <a:chOff x="14742751" y="1547411"/>
            <a:chExt cx="2732007" cy="2377480"/>
          </a:xfrm>
        </xdr:grpSpPr>
        <xdr:sp>
          <xdr:nvSpPr>
            <xdr:cNvPr id="4" name="矩形 3"/>
            <xdr:cNvSpPr/>
          </xdr:nvSpPr>
          <xdr:spPr>
            <a:xfrm>
              <a:off x="14801138" y="3793614"/>
              <a:ext cx="280147" cy="120123"/>
            </a:xfrm>
            <a:prstGeom prst="rect">
              <a:avLst/>
            </a:prstGeom>
          </xdr:spPr>
          <xdr:style>
            <a:lnRef idx="2">
              <a:schemeClr val="accent6">
                <a:shade val="50000"/>
              </a:schemeClr>
            </a:lnRef>
            <a:fillRef idx="1">
              <a:schemeClr val="accent6"/>
            </a:fillRef>
            <a:effectRef idx="0">
              <a:schemeClr val="accent6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zh-CN" altLang="en-US" sz="1100"/>
            </a:p>
          </xdr:txBody>
        </xdr:sp>
        <xdr:sp>
          <xdr:nvSpPr>
            <xdr:cNvPr id="5" name="矩形 4"/>
            <xdr:cNvSpPr/>
          </xdr:nvSpPr>
          <xdr:spPr>
            <a:xfrm>
              <a:off x="15303386" y="3804768"/>
              <a:ext cx="280147" cy="120123"/>
            </a:xfrm>
            <a:prstGeom prst="rect">
              <a:avLst/>
            </a:prstGeom>
          </xdr:spPr>
          <xdr:style>
            <a:lnRef idx="2">
              <a:schemeClr val="accent6">
                <a:shade val="50000"/>
              </a:schemeClr>
            </a:lnRef>
            <a:fillRef idx="1">
              <a:schemeClr val="accent6"/>
            </a:fillRef>
            <a:effectRef idx="0">
              <a:schemeClr val="accent6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zh-CN" altLang="en-US" sz="1100"/>
            </a:p>
          </xdr:txBody>
        </xdr:sp>
        <xdr:sp>
          <xdr:nvSpPr>
            <xdr:cNvPr id="6" name="矩形 5"/>
            <xdr:cNvSpPr/>
          </xdr:nvSpPr>
          <xdr:spPr>
            <a:xfrm>
              <a:off x="16185910" y="3788870"/>
              <a:ext cx="281651" cy="123265"/>
            </a:xfrm>
            <a:prstGeom prst="rect">
              <a:avLst/>
            </a:prstGeom>
          </xdr:spPr>
          <xdr:style>
            <a:lnRef idx="2">
              <a:schemeClr val="accent6">
                <a:shade val="50000"/>
              </a:schemeClr>
            </a:lnRef>
            <a:fillRef idx="1">
              <a:schemeClr val="accent6"/>
            </a:fillRef>
            <a:effectRef idx="0">
              <a:schemeClr val="accent6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zh-CN" altLang="en-US" sz="1100"/>
            </a:p>
          </xdr:txBody>
        </xdr:sp>
        <xdr:sp>
          <xdr:nvSpPr>
            <xdr:cNvPr id="7" name="矩形 6"/>
            <xdr:cNvSpPr/>
          </xdr:nvSpPr>
          <xdr:spPr>
            <a:xfrm>
              <a:off x="17088413" y="3797394"/>
              <a:ext cx="282868" cy="120123"/>
            </a:xfrm>
            <a:prstGeom prst="rect">
              <a:avLst/>
            </a:prstGeom>
          </xdr:spPr>
          <xdr:style>
            <a:lnRef idx="2">
              <a:schemeClr val="accent6">
                <a:shade val="50000"/>
              </a:schemeClr>
            </a:lnRef>
            <a:fillRef idx="1">
              <a:schemeClr val="accent6"/>
            </a:fillRef>
            <a:effectRef idx="0">
              <a:schemeClr val="accent6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zh-CN" altLang="en-US" sz="1100"/>
            </a:p>
          </xdr:txBody>
        </xdr:sp>
        <xdr:cxnSp>
          <xdr:nvCxnSpPr>
            <xdr:cNvPr id="8" name="直接连接符 7"/>
            <xdr:cNvCxnSpPr/>
          </xdr:nvCxnSpPr>
          <xdr:spPr>
            <a:xfrm rot="5400000" flipH="1" flipV="1">
              <a:off x="14803110" y="3659671"/>
              <a:ext cx="284858" cy="1588"/>
            </a:xfrm>
            <a:prstGeom prst="line">
              <a:avLst/>
            </a:prstGeom>
            <a:ln w="19050">
              <a:solidFill>
                <a:srgbClr val="0000CC"/>
              </a:solidFill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cxnSp>
          <xdr:nvCxnSpPr>
            <xdr:cNvPr id="9" name="直接连接符 8"/>
            <xdr:cNvCxnSpPr/>
          </xdr:nvCxnSpPr>
          <xdr:spPr>
            <a:xfrm rot="5400000" flipH="1" flipV="1">
              <a:off x="17114770" y="3649356"/>
              <a:ext cx="246584" cy="1588"/>
            </a:xfrm>
            <a:prstGeom prst="line">
              <a:avLst/>
            </a:prstGeom>
            <a:ln w="19050">
              <a:solidFill>
                <a:srgbClr val="0000CC"/>
              </a:solidFill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cxnSp>
          <xdr:nvCxnSpPr>
            <xdr:cNvPr id="10" name="直接连接符 9"/>
            <xdr:cNvCxnSpPr>
              <a:stCxn id="7" idx="0"/>
            </xdr:cNvCxnSpPr>
          </xdr:nvCxnSpPr>
          <xdr:spPr>
            <a:xfrm flipV="1">
              <a:off x="17229847" y="3514968"/>
              <a:ext cx="198761" cy="282426"/>
            </a:xfrm>
            <a:prstGeom prst="line">
              <a:avLst/>
            </a:prstGeom>
            <a:ln w="19050">
              <a:solidFill>
                <a:srgbClr val="0000CC"/>
              </a:solidFill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>
          <xdr:nvSpPr>
            <xdr:cNvPr id="11" name="矩形 10"/>
            <xdr:cNvSpPr/>
          </xdr:nvSpPr>
          <xdr:spPr>
            <a:xfrm>
              <a:off x="15764598" y="3794743"/>
              <a:ext cx="274915" cy="120123"/>
            </a:xfrm>
            <a:prstGeom prst="rect">
              <a:avLst/>
            </a:prstGeom>
          </xdr:spPr>
          <xdr:style>
            <a:lnRef idx="2">
              <a:schemeClr val="accent6">
                <a:shade val="50000"/>
              </a:schemeClr>
            </a:lnRef>
            <a:fillRef idx="1">
              <a:schemeClr val="accent6"/>
            </a:fillRef>
            <a:effectRef idx="0">
              <a:schemeClr val="accent6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zh-CN" altLang="en-US" sz="1100"/>
            </a:p>
          </xdr:txBody>
        </xdr:sp>
        <xdr:sp>
          <xdr:nvSpPr>
            <xdr:cNvPr id="12" name="矩形 11"/>
            <xdr:cNvSpPr/>
          </xdr:nvSpPr>
          <xdr:spPr>
            <a:xfrm>
              <a:off x="16617043" y="3798897"/>
              <a:ext cx="285793" cy="120123"/>
            </a:xfrm>
            <a:prstGeom prst="rect">
              <a:avLst/>
            </a:prstGeom>
          </xdr:spPr>
          <xdr:style>
            <a:lnRef idx="2">
              <a:schemeClr val="accent6">
                <a:shade val="50000"/>
              </a:schemeClr>
            </a:lnRef>
            <a:fillRef idx="1">
              <a:schemeClr val="accent6"/>
            </a:fillRef>
            <a:effectRef idx="0">
              <a:schemeClr val="accent6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zh-CN" altLang="en-US" sz="1100"/>
            </a:p>
          </xdr:txBody>
        </xdr:sp>
        <xdr:sp>
          <xdr:nvSpPr>
            <xdr:cNvPr id="13" name="TextBox 12"/>
            <xdr:cNvSpPr txBox="1"/>
          </xdr:nvSpPr>
          <xdr:spPr>
            <a:xfrm>
              <a:off x="17015628" y="3141983"/>
              <a:ext cx="459130" cy="302847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wrap="square" rtlCol="0" anchor="t"/>
            <a:lstStyle/>
            <a:p>
              <a:r>
                <a:rPr lang="en-US" altLang="zh-TW" sz="1100"/>
                <a:t>45</a:t>
              </a:r>
              <a:r>
                <a:rPr lang="en-US" altLang="zh-CN" sz="1100"/>
                <a:t>°</a:t>
              </a:r>
              <a:endParaRPr lang="zh-CN" altLang="en-US" sz="1100"/>
            </a:p>
          </xdr:txBody>
        </xdr:sp>
        <xdr:cxnSp>
          <xdr:nvCxnSpPr>
            <xdr:cNvPr id="18" name="直接连接符 17"/>
            <xdr:cNvCxnSpPr>
              <a:stCxn id="4" idx="0"/>
            </xdr:cNvCxnSpPr>
          </xdr:nvCxnSpPr>
          <xdr:spPr>
            <a:xfrm flipH="1" flipV="1">
              <a:off x="14768177" y="3528106"/>
              <a:ext cx="173035" cy="265508"/>
            </a:xfrm>
            <a:prstGeom prst="line">
              <a:avLst/>
            </a:prstGeom>
            <a:ln w="19050">
              <a:solidFill>
                <a:srgbClr val="0000CC"/>
              </a:solidFill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>
          <xdr:nvSpPr>
            <xdr:cNvPr id="16" name="矩形 15"/>
            <xdr:cNvSpPr/>
          </xdr:nvSpPr>
          <xdr:spPr>
            <a:xfrm>
              <a:off x="14742751" y="1547411"/>
              <a:ext cx="2702858" cy="1966340"/>
            </a:xfrm>
            <a:prstGeom prst="rect">
              <a:avLst/>
            </a:prstGeom>
          </xdr:spPr>
          <xdr:style>
            <a:lnRef idx="2">
              <a:schemeClr val="accent3">
                <a:shade val="50000"/>
              </a:schemeClr>
            </a:lnRef>
            <a:fillRef idx="1">
              <a:schemeClr val="accent3"/>
            </a:fillRef>
            <a:effectRef idx="0">
              <a:schemeClr val="accent3"/>
            </a:effectRef>
            <a:fontRef idx="minor">
              <a:schemeClr val="lt1"/>
            </a:fontRef>
          </xdr:style>
          <xdr:txBody>
            <a:bodyPr rtlCol="0" anchor="ctr"/>
            <a:lstStyle/>
            <a:p>
              <a:pPr algn="ctr"/>
              <a:endParaRPr lang="zh-CN" altLang="en-US" sz="1100"/>
            </a:p>
          </xdr:txBody>
        </xdr:sp>
      </xdr:grpSp>
      <xdr:sp textlink="$J$35">
        <xdr:nvSpPr>
          <xdr:cNvPr id="20" name="TextBox 19"/>
          <xdr:cNvSpPr txBox="1"/>
        </xdr:nvSpPr>
        <xdr:spPr>
          <a:xfrm>
            <a:off x="9937749" y="3816350"/>
            <a:ext cx="495301" cy="250157"/>
          </a:xfrm>
          <a:prstGeom prst="rect">
            <a:avLst/>
          </a:prstGeom>
        </xdr:spPr>
        <xdr:style>
          <a:lnRef idx="2">
            <a:schemeClr val="accent4"/>
          </a:lnRef>
          <a:fillRef idx="1">
            <a:schemeClr val="lt1"/>
          </a:fillRef>
          <a:effectRef idx="0">
            <a:schemeClr val="accent4"/>
          </a:effectRef>
          <a:fontRef idx="minor">
            <a:schemeClr val="dk1"/>
          </a:fontRef>
        </xdr:style>
        <xdr:txBody>
          <a:bodyPr wrap="square" rtlCol="0" anchor="t"/>
          <a:lstStyle/>
          <a:p>
            <a:pPr algn="ctr"/>
            <a:fld id="{4B977002-8BA2-48D8-B392-774060549C4A}" type="TxLink">
              <a:rPr lang="en-US" altLang="zh-CN" sz="1100"/>
            </a:fld>
            <a:endParaRPr lang="zh-CN" altLang="en-US" sz="1100"/>
          </a:p>
        </xdr:txBody>
      </xdr:sp>
      <xdr:cxnSp>
        <xdr:nvCxnSpPr>
          <xdr:cNvPr id="28" name="直接箭头连接符 27"/>
          <xdr:cNvCxnSpPr/>
        </xdr:nvCxnSpPr>
        <xdr:spPr>
          <a:xfrm>
            <a:off x="10250632" y="4095173"/>
            <a:ext cx="51954" cy="298450"/>
          </a:xfrm>
          <a:prstGeom prst="straightConnector1">
            <a:avLst/>
          </a:prstGeom>
          <a:ln w="19050">
            <a:solidFill>
              <a:srgbClr val="0000CC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31" name="直接箭头连接符 30"/>
          <xdr:cNvCxnSpPr/>
        </xdr:nvCxnSpPr>
        <xdr:spPr>
          <a:xfrm>
            <a:off x="12843163" y="4125480"/>
            <a:ext cx="0" cy="250825"/>
          </a:xfrm>
          <a:prstGeom prst="straightConnector1">
            <a:avLst/>
          </a:prstGeom>
          <a:ln w="19050">
            <a:solidFill>
              <a:srgbClr val="0000CC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textlink="$J$35">
        <xdr:nvSpPr>
          <xdr:cNvPr id="22" name="TextBox 19"/>
          <xdr:cNvSpPr txBox="1"/>
        </xdr:nvSpPr>
        <xdr:spPr>
          <a:xfrm>
            <a:off x="12706349" y="3867150"/>
            <a:ext cx="495301" cy="250157"/>
          </a:xfrm>
          <a:prstGeom prst="rect">
            <a:avLst/>
          </a:prstGeom>
        </xdr:spPr>
        <xdr:style>
          <a:lnRef idx="2">
            <a:schemeClr val="accent4"/>
          </a:lnRef>
          <a:fillRef idx="1">
            <a:schemeClr val="lt1"/>
          </a:fillRef>
          <a:effectRef idx="0">
            <a:schemeClr val="accent4"/>
          </a:effectRef>
          <a:fontRef idx="minor">
            <a:schemeClr val="dk1"/>
          </a:fontRef>
        </xdr:style>
        <xdr:txBody>
          <a:bodyPr wrap="square" rtlCol="0" anchor="t"/>
          <a:lstStyle/>
          <a:p>
            <a:pPr algn="ctr"/>
            <a:fld id="{4B977002-8BA2-48D8-B392-774060549C4A}" type="TxLink">
              <a:rPr lang="en-US" altLang="zh-CN" sz="1100" b="0" i="0" u="none" strike="noStrike">
                <a:solidFill>
                  <a:srgbClr val="000000"/>
                </a:solidFill>
                <a:latin typeface="Calibri" panose="020F0502020204030204"/>
                <a:cs typeface="Calibri" panose="020F0502020204030204"/>
              </a:rPr>
            </a:fld>
            <a:endParaRPr lang="zh-CN" altLang="en-US" sz="1100"/>
          </a:p>
        </xdr:txBody>
      </xdr:sp>
    </xdr:grpSp>
    <xdr:clientData/>
  </xdr:twoCellAnchor>
  <xdr:twoCellAnchor editAs="oneCell">
    <xdr:from>
      <xdr:col>15</xdr:col>
      <xdr:colOff>1086971</xdr:colOff>
      <xdr:row>20</xdr:row>
      <xdr:rowOff>22412</xdr:rowOff>
    </xdr:from>
    <xdr:to>
      <xdr:col>19</xdr:col>
      <xdr:colOff>711726</xdr:colOff>
      <xdr:row>25</xdr:row>
      <xdr:rowOff>67235</xdr:rowOff>
    </xdr:to>
    <xdr:pic>
      <xdr:nvPicPr>
        <xdr:cNvPr id="15" name="图片 1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945485" y="4163695"/>
          <a:ext cx="2192655" cy="10121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340658</xdr:colOff>
      <xdr:row>26</xdr:row>
      <xdr:rowOff>169591</xdr:rowOff>
    </xdr:from>
    <xdr:to>
      <xdr:col>5</xdr:col>
      <xdr:colOff>457199</xdr:colOff>
      <xdr:row>40</xdr:row>
      <xdr:rowOff>58344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23240" y="5017770"/>
          <a:ext cx="3560445" cy="2734310"/>
        </a:xfrm>
        <a:prstGeom prst="rect">
          <a:avLst/>
        </a:prstGeom>
      </xdr:spPr>
    </xdr:pic>
    <xdr:clientData/>
  </xdr:twoCellAnchor>
  <xdr:twoCellAnchor editAs="oneCell">
    <xdr:from>
      <xdr:col>1</xdr:col>
      <xdr:colOff>402772</xdr:colOff>
      <xdr:row>42</xdr:row>
      <xdr:rowOff>107996</xdr:rowOff>
    </xdr:from>
    <xdr:to>
      <xdr:col>5</xdr:col>
      <xdr:colOff>500743</xdr:colOff>
      <xdr:row>54</xdr:row>
      <xdr:rowOff>77133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85470" y="8196580"/>
          <a:ext cx="3542030" cy="2420620"/>
        </a:xfrm>
        <a:prstGeom prst="rect">
          <a:avLst/>
        </a:prstGeom>
      </xdr:spPr>
    </xdr:pic>
    <xdr:clientData/>
  </xdr:twoCellAnchor>
  <xdr:twoCellAnchor editAs="oneCell">
    <xdr:from>
      <xdr:col>9</xdr:col>
      <xdr:colOff>435429</xdr:colOff>
      <xdr:row>27</xdr:row>
      <xdr:rowOff>174171</xdr:rowOff>
    </xdr:from>
    <xdr:to>
      <xdr:col>13</xdr:col>
      <xdr:colOff>489859</xdr:colOff>
      <xdr:row>40</xdr:row>
      <xdr:rowOff>81033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738495" y="5205095"/>
          <a:ext cx="3597910" cy="2569845"/>
        </a:xfrm>
        <a:prstGeom prst="rect">
          <a:avLst/>
        </a:prstGeom>
      </xdr:spPr>
    </xdr:pic>
    <xdr:clientData/>
  </xdr:twoCellAnchor>
  <xdr:twoCellAnchor editAs="oneCell">
    <xdr:from>
      <xdr:col>10</xdr:col>
      <xdr:colOff>87085</xdr:colOff>
      <xdr:row>44</xdr:row>
      <xdr:rowOff>21772</xdr:rowOff>
    </xdr:from>
    <xdr:to>
      <xdr:col>16</xdr:col>
      <xdr:colOff>205515</xdr:colOff>
      <xdr:row>55</xdr:row>
      <xdr:rowOff>43543</xdr:rowOff>
    </xdr:to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832475" y="8475980"/>
          <a:ext cx="5010150" cy="2290445"/>
        </a:xfrm>
        <a:prstGeom prst="rect">
          <a:avLst/>
        </a:prstGeom>
      </xdr:spPr>
    </xdr:pic>
    <xdr:clientData/>
  </xdr:twoCellAnchor>
  <xdr:twoCellAnchor>
    <xdr:from>
      <xdr:col>13</xdr:col>
      <xdr:colOff>78441</xdr:colOff>
      <xdr:row>68</xdr:row>
      <xdr:rowOff>56031</xdr:rowOff>
    </xdr:from>
    <xdr:to>
      <xdr:col>19</xdr:col>
      <xdr:colOff>175885</xdr:colOff>
      <xdr:row>83</xdr:row>
      <xdr:rowOff>48723</xdr:rowOff>
    </xdr:to>
    <xdr:grpSp>
      <xdr:nvGrpSpPr>
        <xdr:cNvPr id="32" name="组合 31"/>
        <xdr:cNvGrpSpPr/>
      </xdr:nvGrpSpPr>
      <xdr:grpSpPr>
        <a:xfrm>
          <a:off x="8924925" y="13164185"/>
          <a:ext cx="3968115" cy="2552700"/>
          <a:chOff x="10634567" y="1250674"/>
          <a:chExt cx="3660914" cy="2782957"/>
        </a:xfrm>
      </xdr:grpSpPr>
      <xdr:pic>
        <xdr:nvPicPr>
          <xdr:cNvPr id="33" name="图片 32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10634567" y="1250674"/>
            <a:ext cx="3660914" cy="2782957"/>
          </a:xfrm>
          <a:prstGeom prst="rect">
            <a:avLst/>
          </a:prstGeom>
        </xdr:spPr>
      </xdr:pic>
      <xdr:cxnSp>
        <xdr:nvCxnSpPr>
          <xdr:cNvPr id="34" name="直接连接符 33"/>
          <xdr:cNvCxnSpPr/>
        </xdr:nvCxnSpPr>
        <xdr:spPr>
          <a:xfrm>
            <a:off x="13230163" y="1962356"/>
            <a:ext cx="0" cy="54000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35" name="文本框 34"/>
          <xdr:cNvSpPr txBox="1"/>
        </xdr:nvSpPr>
        <xdr:spPr>
          <a:xfrm>
            <a:off x="13866332" y="1264290"/>
            <a:ext cx="323850" cy="28682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l-GR" altLang="zh-CN" sz="110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β</a:t>
            </a:r>
            <a:endParaRPr lang="zh-CN" altLang="en-US" sz="1100"/>
          </a:p>
        </xdr:txBody>
      </xdr:sp>
      <xdr:sp>
        <xdr:nvSpPr>
          <xdr:cNvPr id="36" name="文本框 35"/>
          <xdr:cNvSpPr txBox="1"/>
        </xdr:nvSpPr>
        <xdr:spPr>
          <a:xfrm>
            <a:off x="12889396" y="1453352"/>
            <a:ext cx="323850" cy="28682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t1</a:t>
            </a:r>
            <a:endParaRPr lang="zh-CN" altLang="en-US" sz="1100"/>
          </a:p>
        </xdr:txBody>
      </xdr:sp>
      <xdr:sp>
        <xdr:nvSpPr>
          <xdr:cNvPr id="37" name="文本框 36"/>
          <xdr:cNvSpPr txBox="1"/>
        </xdr:nvSpPr>
        <xdr:spPr>
          <a:xfrm>
            <a:off x="13184355" y="1942362"/>
            <a:ext cx="323850" cy="2925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l-GR" altLang="zh-CN" sz="110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α</a:t>
            </a:r>
            <a:endParaRPr lang="zh-CN" altLang="en-US" sz="1100"/>
          </a:p>
        </xdr:txBody>
      </xdr:sp>
      <xdr:cxnSp>
        <xdr:nvCxnSpPr>
          <xdr:cNvPr id="38" name="直接连接符 37"/>
          <xdr:cNvCxnSpPr/>
        </xdr:nvCxnSpPr>
        <xdr:spPr>
          <a:xfrm>
            <a:off x="12944699" y="2370470"/>
            <a:ext cx="0" cy="51597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39" name="文本框 38"/>
          <xdr:cNvSpPr txBox="1"/>
        </xdr:nvSpPr>
        <xdr:spPr>
          <a:xfrm>
            <a:off x="12765731" y="2439172"/>
            <a:ext cx="225860" cy="26916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l-GR" altLang="zh-CN" sz="110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γ</a:t>
            </a:r>
            <a:endParaRPr lang="zh-CN" altLang="en-US" sz="1100"/>
          </a:p>
        </xdr:txBody>
      </xdr:sp>
      <xdr:cxnSp>
        <xdr:nvCxnSpPr>
          <xdr:cNvPr id="40" name="直接连接符 39"/>
          <xdr:cNvCxnSpPr/>
        </xdr:nvCxnSpPr>
        <xdr:spPr>
          <a:xfrm>
            <a:off x="12665351" y="2720832"/>
            <a:ext cx="0" cy="35052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41" name="直接箭头连接符 40"/>
          <xdr:cNvCxnSpPr/>
        </xdr:nvCxnSpPr>
        <xdr:spPr>
          <a:xfrm>
            <a:off x="12665351" y="2960029"/>
            <a:ext cx="900000" cy="0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42" name="直接箭头连接符 41"/>
          <xdr:cNvCxnSpPr/>
        </xdr:nvCxnSpPr>
        <xdr:spPr>
          <a:xfrm>
            <a:off x="12952024" y="2799681"/>
            <a:ext cx="612000" cy="0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43" name="文本框 42"/>
          <xdr:cNvSpPr txBox="1"/>
        </xdr:nvSpPr>
        <xdr:spPr>
          <a:xfrm>
            <a:off x="13638016" y="1926902"/>
            <a:ext cx="323850" cy="29258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t4</a:t>
            </a:r>
            <a:endParaRPr lang="zh-CN" altLang="en-US" sz="1100"/>
          </a:p>
        </xdr:txBody>
      </xdr:sp>
      <xdr:cxnSp>
        <xdr:nvCxnSpPr>
          <xdr:cNvPr id="44" name="直接箭头连接符 43"/>
          <xdr:cNvCxnSpPr/>
        </xdr:nvCxnSpPr>
        <xdr:spPr>
          <a:xfrm flipV="1">
            <a:off x="13471664" y="2106329"/>
            <a:ext cx="199484" cy="180643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45" name="文本框 44"/>
          <xdr:cNvSpPr txBox="1"/>
        </xdr:nvSpPr>
        <xdr:spPr>
          <a:xfrm>
            <a:off x="13118443" y="2736447"/>
            <a:ext cx="413430" cy="2868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X1</a:t>
            </a:r>
            <a:endParaRPr lang="zh-CN" altLang="en-US" sz="1100"/>
          </a:p>
        </xdr:txBody>
      </xdr:sp>
      <xdr:sp>
        <xdr:nvSpPr>
          <xdr:cNvPr id="46" name="文本框 45"/>
          <xdr:cNvSpPr txBox="1"/>
        </xdr:nvSpPr>
        <xdr:spPr>
          <a:xfrm>
            <a:off x="12906598" y="2906162"/>
            <a:ext cx="414704" cy="2868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X2</a:t>
            </a:r>
            <a:endParaRPr lang="zh-CN" altLang="en-US" sz="1100"/>
          </a:p>
        </xdr:txBody>
      </xdr:sp>
      <xdr:sp>
        <xdr:nvSpPr>
          <xdr:cNvPr id="47" name="文本框 46"/>
          <xdr:cNvSpPr txBox="1"/>
        </xdr:nvSpPr>
        <xdr:spPr>
          <a:xfrm>
            <a:off x="13645343" y="2174078"/>
            <a:ext cx="323850" cy="28682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t5</a:t>
            </a:r>
            <a:endParaRPr lang="zh-CN" altLang="en-US" sz="1100"/>
          </a:p>
        </xdr:txBody>
      </xdr:sp>
      <xdr:cxnSp>
        <xdr:nvCxnSpPr>
          <xdr:cNvPr id="48" name="直接箭头连接符 47"/>
          <xdr:cNvCxnSpPr/>
        </xdr:nvCxnSpPr>
        <xdr:spPr>
          <a:xfrm flipV="1">
            <a:off x="13475568" y="2321458"/>
            <a:ext cx="213737" cy="40121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49" name="左大括号 48"/>
          <xdr:cNvSpPr/>
        </xdr:nvSpPr>
        <xdr:spPr>
          <a:xfrm rot="10800000">
            <a:off x="13497470" y="2384522"/>
            <a:ext cx="174572" cy="370660"/>
          </a:xfrm>
          <a:prstGeom prst="leftBrac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sp>
        <xdr:nvSpPr>
          <xdr:cNvPr id="50" name="文本框 49"/>
          <xdr:cNvSpPr txBox="1"/>
        </xdr:nvSpPr>
        <xdr:spPr>
          <a:xfrm>
            <a:off x="13638016" y="2437952"/>
            <a:ext cx="323850" cy="28682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t6</a:t>
            </a:r>
            <a:endParaRPr lang="zh-CN" altLang="en-US" sz="1100"/>
          </a:p>
        </xdr:txBody>
      </xdr:sp>
      <xdr:cxnSp>
        <xdr:nvCxnSpPr>
          <xdr:cNvPr id="51" name="直接连接符 50"/>
          <xdr:cNvCxnSpPr/>
        </xdr:nvCxnSpPr>
        <xdr:spPr>
          <a:xfrm>
            <a:off x="13901053" y="1283190"/>
            <a:ext cx="0" cy="468243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52" name="文本框 51"/>
          <xdr:cNvSpPr txBox="1"/>
        </xdr:nvSpPr>
        <xdr:spPr>
          <a:xfrm>
            <a:off x="12660667" y="1671116"/>
            <a:ext cx="573663" cy="29258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t2</a:t>
            </a:r>
            <a:endParaRPr lang="zh-CN" altLang="en-US" sz="1100"/>
          </a:p>
        </xdr:txBody>
      </xdr:sp>
      <xdr:sp>
        <xdr:nvSpPr>
          <xdr:cNvPr id="29" name="文本框 28"/>
          <xdr:cNvSpPr txBox="1"/>
        </xdr:nvSpPr>
        <xdr:spPr>
          <a:xfrm>
            <a:off x="12694285" y="1951263"/>
            <a:ext cx="573663" cy="29258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t3</a:t>
            </a:r>
            <a:endParaRPr lang="zh-CN" altLang="en-US" sz="1100"/>
          </a:p>
        </xdr:txBody>
      </xdr:sp>
      <xdr:cxnSp>
        <xdr:nvCxnSpPr>
          <xdr:cNvPr id="53" name="直接箭头连接符 52"/>
          <xdr:cNvCxnSpPr/>
        </xdr:nvCxnSpPr>
        <xdr:spPr>
          <a:xfrm>
            <a:off x="12217116" y="3281562"/>
            <a:ext cx="1332000" cy="0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54" name="直接连接符 53"/>
          <xdr:cNvCxnSpPr/>
        </xdr:nvCxnSpPr>
        <xdr:spPr>
          <a:xfrm>
            <a:off x="12228321" y="3145714"/>
            <a:ext cx="0" cy="35052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55" name="文本框 54"/>
          <xdr:cNvSpPr txBox="1"/>
        </xdr:nvSpPr>
        <xdr:spPr>
          <a:xfrm>
            <a:off x="12671275" y="3285112"/>
            <a:ext cx="414704" cy="28681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100"/>
              <a:t>X3</a:t>
            </a:r>
            <a:endParaRPr lang="zh-CN" altLang="en-US" sz="1100"/>
          </a:p>
        </xdr:txBody>
      </xdr:sp>
    </xdr:grpSp>
    <xdr:clientData/>
  </xdr:twoCellAnchor>
  <xdr:twoCellAnchor>
    <xdr:from>
      <xdr:col>12</xdr:col>
      <xdr:colOff>459441</xdr:colOff>
      <xdr:row>56</xdr:row>
      <xdr:rowOff>168088</xdr:rowOff>
    </xdr:from>
    <xdr:to>
      <xdr:col>18</xdr:col>
      <xdr:colOff>515472</xdr:colOff>
      <xdr:row>68</xdr:row>
      <xdr:rowOff>45383</xdr:rowOff>
    </xdr:to>
    <xdr:sp>
      <xdr:nvSpPr>
        <xdr:cNvPr id="56" name="文本框 55"/>
        <xdr:cNvSpPr txBox="1"/>
      </xdr:nvSpPr>
      <xdr:spPr>
        <a:xfrm>
          <a:off x="8772525" y="11073765"/>
          <a:ext cx="3088640" cy="20796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1100" b="1">
              <a:solidFill>
                <a:srgbClr val="0000CC"/>
              </a:solidFill>
              <a:effectLst/>
              <a:latin typeface="微软雅黑" panose="020B0503020204020204" pitchFamily="34" charset="-122"/>
              <a:ea typeface="微软雅黑" panose="020B0503020204020204" pitchFamily="34" charset="-122"/>
              <a:cs typeface="+mn-cs"/>
            </a:rPr>
            <a:t>设计计算公式：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α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=arcsin(sin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β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/n1)       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γ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=arcsin(sin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β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/n2)</a:t>
          </a:r>
          <a:endParaRPr lang="en-US" altLang="zh-CN" sz="1100"/>
        </a:p>
        <a:p>
          <a:r>
            <a:rPr lang="en-US" altLang="zh-CN" sz="1100"/>
            <a:t>X1</a:t>
          </a:r>
          <a:r>
            <a:rPr lang="zh-CN" altLang="en-US" sz="1100"/>
            <a:t>≥</a:t>
          </a:r>
          <a:r>
            <a:rPr lang="en-US" altLang="zh-CN" sz="1100"/>
            <a:t>(t3+t4)tan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α</a:t>
          </a:r>
          <a:r>
            <a:rPr lang="en-US" altLang="zh-CN" sz="1100"/>
            <a:t>+t5*tan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β</a:t>
          </a:r>
          <a:r>
            <a:rPr lang="en-US" altLang="zh-CN" sz="1100"/>
            <a:t>+sqrt(T1^2+T2^2+T3^2+T4^2)</a:t>
          </a:r>
          <a:endParaRPr lang="en-US" altLang="zh-CN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 sz="1100"/>
            <a:t>X2</a:t>
          </a:r>
          <a:r>
            <a:rPr lang="zh-CN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≥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(t3+t4)tan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α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+t5*tan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β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+t6*tan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γ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+sqrt(T1^2+T2^2+T3^2+T4^2)</a:t>
          </a:r>
          <a:endParaRPr lang="en-US" altLang="zh-CN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X3</a:t>
          </a:r>
          <a:r>
            <a:rPr lang="zh-CN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≥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(t3+t4)tan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α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+t5*tan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β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+(t6+t7)*tan</a:t>
          </a:r>
          <a:r>
            <a:rPr lang="el-GR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γ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+sqrt(T1^2+T2^2+T3^2+T4^2)</a:t>
          </a:r>
          <a:endParaRPr lang="en-US" altLang="zh-CN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b="1">
              <a:solidFill>
                <a:srgbClr val="0000CC"/>
              </a:solidFill>
              <a:effectLst/>
            </a:rPr>
            <a:t>表格机理分析：</a:t>
          </a:r>
          <a:endParaRPr lang="en-US" altLang="zh-CN" b="1">
            <a:solidFill>
              <a:srgbClr val="0000CC"/>
            </a:solidFill>
            <a:effectLst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>
              <a:effectLst/>
            </a:rPr>
            <a:t>1. </a:t>
          </a:r>
          <a:r>
            <a:rPr lang="zh-CN" altLang="en-US">
              <a:effectLst/>
            </a:rPr>
            <a:t>线缺失：黑边印刷</a:t>
          </a:r>
          <a:r>
            <a:rPr lang="en-US" altLang="zh-CN">
              <a:effectLst/>
            </a:rPr>
            <a:t>/</a:t>
          </a:r>
          <a:r>
            <a:rPr lang="zh-CN" altLang="en-US">
              <a:effectLst/>
            </a:rPr>
            <a:t>黑色遮光胶带→≥</a:t>
          </a:r>
          <a:r>
            <a:rPr lang="en-US" altLang="zh-CN">
              <a:effectLst/>
            </a:rPr>
            <a:t>X1</a:t>
          </a:r>
          <a:endParaRPr lang="en-US" altLang="zh-CN">
            <a:effectLst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>
              <a:effectLst/>
            </a:rPr>
            <a:t>2. </a:t>
          </a:r>
          <a:r>
            <a:rPr lang="zh-CN" altLang="en-US">
              <a:effectLst/>
            </a:rPr>
            <a:t>暗影：大视角可见下扩散黑边 </a:t>
          </a:r>
          <a:r>
            <a:rPr lang="en-US" altLang="zh-CN">
              <a:effectLst/>
            </a:rPr>
            <a:t>Or</a:t>
          </a:r>
          <a:endParaRPr lang="en-US" altLang="zh-CN">
            <a:effectLst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>
              <a:effectLst/>
            </a:rPr>
            <a:t>3. </a:t>
          </a:r>
          <a:r>
            <a:rPr lang="zh-CN" altLang="en-US">
              <a:effectLst/>
            </a:rPr>
            <a:t>边缘漏光：</a:t>
          </a:r>
          <a:r>
            <a:rPr lang="en-US" altLang="zh-CN">
              <a:effectLst/>
            </a:rPr>
            <a:t>X3</a:t>
          </a:r>
          <a:r>
            <a:rPr lang="en-US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+LGP</a:t>
          </a:r>
          <a:r>
            <a:rPr lang="zh-CN" altLang="zh-CN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结构权重</a:t>
          </a:r>
          <a:r>
            <a:rPr lang="en-US" altLang="zh-CN">
              <a:effectLst/>
            </a:rPr>
            <a:t>+</a:t>
          </a:r>
          <a:r>
            <a:rPr lang="zh-CN" altLang="en-US">
              <a:effectLst/>
            </a:rPr>
            <a:t>胶框颜色权重</a:t>
          </a:r>
          <a:r>
            <a:rPr lang="en-US" altLang="zh-CN">
              <a:effectLst/>
            </a:rPr>
            <a:t>+</a:t>
          </a:r>
          <a:r>
            <a:rPr lang="zh-CN" altLang="en-US">
              <a:effectLst/>
            </a:rPr>
            <a:t>下扩黑边印刷到</a:t>
          </a:r>
          <a:r>
            <a:rPr lang="en-US" altLang="zh-CN">
              <a:effectLst/>
            </a:rPr>
            <a:t>AA Gap</a:t>
          </a:r>
          <a:r>
            <a:rPr lang="zh-CN" altLang="en-US">
              <a:effectLst/>
            </a:rPr>
            <a:t>权重</a:t>
          </a:r>
          <a:endParaRPr lang="zh-CN" altLang="zh-CN">
            <a:effectLst/>
          </a:endParaRPr>
        </a:p>
      </xdr:txBody>
    </xdr:sp>
    <xdr:clientData/>
  </xdr:twoCellAnchor>
  <xdr:twoCellAnchor editAs="oneCell">
    <xdr:from>
      <xdr:col>18</xdr:col>
      <xdr:colOff>44824</xdr:colOff>
      <xdr:row>33</xdr:row>
      <xdr:rowOff>134471</xdr:rowOff>
    </xdr:from>
    <xdr:to>
      <xdr:col>22</xdr:col>
      <xdr:colOff>862852</xdr:colOff>
      <xdr:row>41</xdr:row>
      <xdr:rowOff>131887</xdr:rowOff>
    </xdr:to>
    <xdr:pic>
      <xdr:nvPicPr>
        <xdr:cNvPr id="2" name="图片 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1390630" y="6348095"/>
          <a:ext cx="4216400" cy="1689100"/>
        </a:xfrm>
        <a:prstGeom prst="rect">
          <a:avLst/>
        </a:prstGeom>
      </xdr:spPr>
    </xdr:pic>
    <xdr:clientData/>
  </xdr:twoCellAnchor>
  <xdr:twoCellAnchor>
    <xdr:from>
      <xdr:col>18</xdr:col>
      <xdr:colOff>1501588</xdr:colOff>
      <xdr:row>42</xdr:row>
      <xdr:rowOff>89648</xdr:rowOff>
    </xdr:from>
    <xdr:to>
      <xdr:col>22</xdr:col>
      <xdr:colOff>572824</xdr:colOff>
      <xdr:row>54</xdr:row>
      <xdr:rowOff>179294</xdr:rowOff>
    </xdr:to>
    <xdr:grpSp>
      <xdr:nvGrpSpPr>
        <xdr:cNvPr id="7" name="组合 6"/>
        <xdr:cNvGrpSpPr/>
      </xdr:nvGrpSpPr>
      <xdr:grpSpPr>
        <a:xfrm>
          <a:off x="12717780" y="8178165"/>
          <a:ext cx="2599690" cy="2541270"/>
          <a:chOff x="14130617" y="8292354"/>
          <a:chExt cx="2847619" cy="2577352"/>
        </a:xfrm>
      </xdr:grpSpPr>
      <xdr:pic>
        <xdr:nvPicPr>
          <xdr:cNvPr id="3" name="图片 2"/>
          <xdr:cNvPicPr>
            <a:picLocks noChangeAspect="1"/>
          </xdr:cNvPicPr>
        </xdr:nvPicPr>
        <xdr:blipFill>
          <a:blip r:embed="rId7"/>
          <a:stretch>
            <a:fillRect/>
          </a:stretch>
        </xdr:blipFill>
        <xdr:spPr>
          <a:xfrm>
            <a:off x="14130617" y="8292354"/>
            <a:ext cx="2847619" cy="2409524"/>
          </a:xfrm>
          <a:prstGeom prst="rect">
            <a:avLst/>
          </a:prstGeom>
        </xdr:spPr>
      </xdr:pic>
      <xdr:cxnSp>
        <xdr:nvCxnSpPr>
          <xdr:cNvPr id="15" name="直接箭头连接符 14"/>
          <xdr:cNvCxnSpPr/>
        </xdr:nvCxnSpPr>
        <xdr:spPr>
          <a:xfrm>
            <a:off x="15352059" y="9099176"/>
            <a:ext cx="717176" cy="515471"/>
          </a:xfrm>
          <a:prstGeom prst="straightConnector1">
            <a:avLst/>
          </a:prstGeom>
          <a:ln w="12700">
            <a:solidFill>
              <a:srgbClr val="0000CC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20" name="直接箭头连接符 19"/>
          <xdr:cNvCxnSpPr/>
        </xdr:nvCxnSpPr>
        <xdr:spPr>
          <a:xfrm flipH="1">
            <a:off x="15296029" y="9356912"/>
            <a:ext cx="336178" cy="1512794"/>
          </a:xfrm>
          <a:prstGeom prst="straightConnector1">
            <a:avLst/>
          </a:prstGeom>
          <a:ln w="12700">
            <a:solidFill>
              <a:srgbClr val="0000CC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11</xdr:col>
      <xdr:colOff>147916</xdr:colOff>
      <xdr:row>4</xdr:row>
      <xdr:rowOff>78442</xdr:rowOff>
    </xdr:from>
    <xdr:to>
      <xdr:col>14</xdr:col>
      <xdr:colOff>619010</xdr:colOff>
      <xdr:row>17</xdr:row>
      <xdr:rowOff>66640</xdr:rowOff>
    </xdr:to>
    <xdr:grpSp>
      <xdr:nvGrpSpPr>
        <xdr:cNvPr id="2" name="组合 1"/>
        <xdr:cNvGrpSpPr/>
      </xdr:nvGrpSpPr>
      <xdr:grpSpPr>
        <a:xfrm>
          <a:off x="11661140" y="809625"/>
          <a:ext cx="3602990" cy="2456815"/>
          <a:chOff x="2668792" y="753818"/>
          <a:chExt cx="3869196" cy="2343542"/>
        </a:xfrm>
      </xdr:grpSpPr>
      <xdr:grpSp>
        <xdr:nvGrpSpPr>
          <xdr:cNvPr id="3" name="组合 2"/>
          <xdr:cNvGrpSpPr/>
        </xdr:nvGrpSpPr>
        <xdr:grpSpPr>
          <a:xfrm>
            <a:off x="2668792" y="753818"/>
            <a:ext cx="3869196" cy="2343542"/>
            <a:chOff x="2503004" y="836712"/>
            <a:chExt cx="3869196" cy="2343542"/>
          </a:xfrm>
        </xdr:grpSpPr>
        <xdr:grpSp>
          <xdr:nvGrpSpPr>
            <xdr:cNvPr id="7" name="组合 6"/>
            <xdr:cNvGrpSpPr/>
          </xdr:nvGrpSpPr>
          <xdr:grpSpPr>
            <a:xfrm>
              <a:off x="2503004" y="1070250"/>
              <a:ext cx="3869196" cy="2110004"/>
              <a:chOff x="1789654" y="1329882"/>
              <a:chExt cx="3869196" cy="2110004"/>
            </a:xfrm>
          </xdr:grpSpPr>
          <xdr:sp>
            <xdr:nvSpPr>
              <xdr:cNvPr id="14" name="矩形 13"/>
              <xdr:cNvSpPr/>
            </xdr:nvSpPr>
            <xdr:spPr>
              <a:xfrm>
                <a:off x="2843808" y="1412776"/>
                <a:ext cx="2808312" cy="684000"/>
              </a:xfrm>
              <a:prstGeom prst="rect">
                <a:avLst/>
              </a:prstGeom>
              <a:solidFill>
                <a:schemeClr val="bg1">
                  <a:lumMod val="65000"/>
                </a:schemeClr>
              </a:solidFill>
              <a:ln w="19050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cxnSp>
            <xdr:nvCxnSpPr>
              <xdr:cNvPr id="15" name="直接连接符 14"/>
              <xdr:cNvCxnSpPr/>
            </xdr:nvCxnSpPr>
            <xdr:spPr>
              <a:xfrm>
                <a:off x="2843808" y="1744352"/>
                <a:ext cx="252000" cy="0"/>
              </a:xfrm>
              <a:prstGeom prst="line">
                <a:avLst/>
              </a:prstGeom>
              <a:ln w="19050">
                <a:solidFill>
                  <a:schemeClr val="tx1">
                    <a:lumMod val="95000"/>
                    <a:lumOff val="5000"/>
                  </a:schemeClr>
                </a:solidFill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  <xdr:cxnSp>
            <xdr:nvCxnSpPr>
              <xdr:cNvPr id="16" name="直接连接符 15"/>
              <xdr:cNvCxnSpPr/>
            </xdr:nvCxnSpPr>
            <xdr:spPr>
              <a:xfrm>
                <a:off x="3330286" y="1740158"/>
                <a:ext cx="1692000" cy="0"/>
              </a:xfrm>
              <a:prstGeom prst="line">
                <a:avLst/>
              </a:prstGeom>
              <a:ln w="19050">
                <a:solidFill>
                  <a:schemeClr val="tx1">
                    <a:lumMod val="95000"/>
                    <a:lumOff val="5000"/>
                  </a:schemeClr>
                </a:solidFill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  <xdr:sp>
            <xdr:nvSpPr>
              <xdr:cNvPr id="17" name="矩形 16"/>
              <xdr:cNvSpPr/>
            </xdr:nvSpPr>
            <xdr:spPr>
              <a:xfrm>
                <a:off x="4032788" y="1329882"/>
                <a:ext cx="1620000" cy="90000"/>
              </a:xfrm>
              <a:prstGeom prst="rect">
                <a:avLst/>
              </a:prstGeom>
              <a:solidFill>
                <a:schemeClr val="bg2">
                  <a:lumMod val="7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18" name="矩形 17"/>
              <xdr:cNvSpPr/>
            </xdr:nvSpPr>
            <xdr:spPr>
              <a:xfrm>
                <a:off x="3094988" y="2100198"/>
                <a:ext cx="2556000" cy="72008"/>
              </a:xfrm>
              <a:prstGeom prst="rect">
                <a:avLst/>
              </a:prstGeom>
              <a:solidFill>
                <a:schemeClr val="bg2">
                  <a:lumMod val="7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19" name="矩形 18"/>
              <xdr:cNvSpPr/>
            </xdr:nvSpPr>
            <xdr:spPr>
              <a:xfrm>
                <a:off x="2206622" y="1412776"/>
                <a:ext cx="360040" cy="1764000"/>
              </a:xfrm>
              <a:prstGeom prst="rect">
                <a:avLst/>
              </a:prstGeom>
              <a:solidFill>
                <a:schemeClr val="accent6">
                  <a:lumMod val="7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0" name="矩形 19"/>
              <xdr:cNvSpPr/>
            </xdr:nvSpPr>
            <xdr:spPr>
              <a:xfrm>
                <a:off x="2566662" y="2244214"/>
                <a:ext cx="1357266" cy="360040"/>
              </a:xfrm>
              <a:prstGeom prst="rect">
                <a:avLst/>
              </a:prstGeom>
              <a:solidFill>
                <a:schemeClr val="accent6">
                  <a:lumMod val="7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1" name="矩形 20"/>
              <xdr:cNvSpPr/>
            </xdr:nvSpPr>
            <xdr:spPr>
              <a:xfrm>
                <a:off x="2566662" y="2604254"/>
                <a:ext cx="133130" cy="572522"/>
              </a:xfrm>
              <a:prstGeom prst="rect">
                <a:avLst/>
              </a:prstGeom>
              <a:solidFill>
                <a:schemeClr val="accent6">
                  <a:lumMod val="7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2" name="矩形 21"/>
              <xdr:cNvSpPr/>
            </xdr:nvSpPr>
            <xdr:spPr>
              <a:xfrm>
                <a:off x="2699792" y="2172206"/>
                <a:ext cx="2016224" cy="72008"/>
              </a:xfrm>
              <a:prstGeom prst="rect">
                <a:avLst/>
              </a:prstGeom>
              <a:solidFill>
                <a:schemeClr val="tx1">
                  <a:lumMod val="95000"/>
                  <a:lumOff val="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3" name="矩形 22"/>
              <xdr:cNvSpPr/>
            </xdr:nvSpPr>
            <xdr:spPr>
              <a:xfrm>
                <a:off x="2184850" y="3176776"/>
                <a:ext cx="3474000" cy="180216"/>
              </a:xfrm>
              <a:prstGeom prst="rect">
                <a:avLst/>
              </a:prstGeom>
              <a:solidFill>
                <a:schemeClr val="bg2">
                  <a:lumMod val="50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4" name="矩形 23"/>
              <xdr:cNvSpPr/>
            </xdr:nvSpPr>
            <xdr:spPr>
              <a:xfrm>
                <a:off x="2040834" y="1517856"/>
                <a:ext cx="154902" cy="1836000"/>
              </a:xfrm>
              <a:prstGeom prst="rect">
                <a:avLst/>
              </a:prstGeom>
              <a:solidFill>
                <a:schemeClr val="bg2">
                  <a:lumMod val="50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5" name="矩形 24"/>
              <xdr:cNvSpPr/>
            </xdr:nvSpPr>
            <xdr:spPr>
              <a:xfrm>
                <a:off x="1875217" y="1510074"/>
                <a:ext cx="154902" cy="1548000"/>
              </a:xfrm>
              <a:prstGeom prst="rect">
                <a:avLst/>
              </a:prstGeom>
              <a:solidFill>
                <a:schemeClr val="bg2">
                  <a:lumMod val="50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6" name="椭圆 25"/>
              <xdr:cNvSpPr/>
            </xdr:nvSpPr>
            <xdr:spPr>
              <a:xfrm>
                <a:off x="1875217" y="1412776"/>
                <a:ext cx="320400" cy="216000"/>
              </a:xfrm>
              <a:prstGeom prst="ellipse">
                <a:avLst/>
              </a:prstGeom>
              <a:solidFill>
                <a:schemeClr val="bg2">
                  <a:lumMod val="50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7" name="矩形 26"/>
              <xdr:cNvSpPr/>
            </xdr:nvSpPr>
            <xdr:spPr>
              <a:xfrm>
                <a:off x="3094988" y="3058074"/>
                <a:ext cx="2556000" cy="118702"/>
              </a:xfrm>
              <a:prstGeom prst="rect">
                <a:avLst/>
              </a:prstGeom>
              <a:solidFill>
                <a:schemeClr val="accent4">
                  <a:lumMod val="60000"/>
                  <a:lumOff val="40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8" name="矩形 27"/>
              <xdr:cNvSpPr/>
            </xdr:nvSpPr>
            <xdr:spPr>
              <a:xfrm>
                <a:off x="3094988" y="2665376"/>
                <a:ext cx="2556000" cy="408505"/>
              </a:xfrm>
              <a:prstGeom prst="rect">
                <a:avLst/>
              </a:prstGeom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29" name="矩形 28"/>
              <xdr:cNvSpPr/>
            </xdr:nvSpPr>
            <xdr:spPr>
              <a:xfrm>
                <a:off x="4176286" y="2571596"/>
                <a:ext cx="1474702" cy="108000"/>
              </a:xfrm>
              <a:prstGeom prst="rect">
                <a:avLst/>
              </a:prstGeom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30" name="矩形 29"/>
              <xdr:cNvSpPr/>
            </xdr:nvSpPr>
            <xdr:spPr>
              <a:xfrm>
                <a:off x="4168416" y="2431774"/>
                <a:ext cx="1483200" cy="144000"/>
              </a:xfrm>
              <a:prstGeom prst="rect">
                <a:avLst/>
              </a:prstGeom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31" name="矩形 30"/>
              <xdr:cNvSpPr/>
            </xdr:nvSpPr>
            <xdr:spPr>
              <a:xfrm>
                <a:off x="4172610" y="2323774"/>
                <a:ext cx="1474702" cy="108000"/>
              </a:xfrm>
              <a:prstGeom prst="rect">
                <a:avLst/>
              </a:prstGeom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32" name="矩形 31"/>
              <xdr:cNvSpPr/>
            </xdr:nvSpPr>
            <xdr:spPr>
              <a:xfrm>
                <a:off x="1835695" y="1329882"/>
                <a:ext cx="1836000" cy="82894"/>
              </a:xfrm>
              <a:prstGeom prst="rect">
                <a:avLst/>
              </a:prstGeom>
              <a:solidFill>
                <a:schemeClr val="tx1">
                  <a:lumMod val="95000"/>
                  <a:lumOff val="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33" name="矩形 32"/>
              <xdr:cNvSpPr/>
            </xdr:nvSpPr>
            <xdr:spPr>
              <a:xfrm>
                <a:off x="1789654" y="1329882"/>
                <a:ext cx="82800" cy="2088000"/>
              </a:xfrm>
              <a:prstGeom prst="rect">
                <a:avLst/>
              </a:prstGeom>
              <a:solidFill>
                <a:schemeClr val="tx1">
                  <a:lumMod val="95000"/>
                  <a:lumOff val="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  <xdr:sp>
            <xdr:nvSpPr>
              <xdr:cNvPr id="34" name="矩形 33"/>
              <xdr:cNvSpPr/>
            </xdr:nvSpPr>
            <xdr:spPr>
              <a:xfrm>
                <a:off x="1796749" y="3356992"/>
                <a:ext cx="3348000" cy="82894"/>
              </a:xfrm>
              <a:prstGeom prst="rect">
                <a:avLst/>
              </a:prstGeom>
              <a:solidFill>
                <a:schemeClr val="tx1">
                  <a:lumMod val="95000"/>
                  <a:lumOff val="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wrap="square" rtlCol="0" anchor="ctr"/>
              <a:lstStyle>
                <a:defPPr>
                  <a:defRPr lang="zh-CN"/>
                </a:defPPr>
                <a:lvl1pPr marL="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800" kern="12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endParaRPr lang="zh-CN" altLang="en-US"/>
              </a:p>
            </xdr:txBody>
          </xdr:sp>
        </xdr:grpSp>
        <xdr:cxnSp>
          <xdr:nvCxnSpPr>
            <xdr:cNvPr id="8" name="直接箭头连接符 7"/>
            <xdr:cNvCxnSpPr/>
          </xdr:nvCxnSpPr>
          <xdr:spPr>
            <a:xfrm flipV="1">
              <a:off x="4052817" y="1149364"/>
              <a:ext cx="343114" cy="320276"/>
            </a:xfrm>
            <a:prstGeom prst="straightConnector1">
              <a:avLst/>
            </a:prstGeom>
            <a:ln>
              <a:solidFill>
                <a:srgbClr val="0000FF"/>
              </a:solidFill>
              <a:headEnd w="sm" len="sm"/>
              <a:tailEnd type="triangle" w="sm" len="sm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9" name="直接连接符 8"/>
            <xdr:cNvCxnSpPr/>
          </xdr:nvCxnSpPr>
          <xdr:spPr>
            <a:xfrm>
              <a:off x="4386533" y="836712"/>
              <a:ext cx="0" cy="828000"/>
            </a:xfrm>
            <a:prstGeom prst="line">
              <a:avLst/>
            </a:prstGeom>
            <a:ln>
              <a:solidFill>
                <a:srgbClr val="0000FF"/>
              </a:solidFill>
              <a:prstDash val="dash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10" name="直接箭头连接符 9"/>
            <xdr:cNvCxnSpPr/>
          </xdr:nvCxnSpPr>
          <xdr:spPr>
            <a:xfrm flipV="1">
              <a:off x="4394636" y="854433"/>
              <a:ext cx="495000" cy="302491"/>
            </a:xfrm>
            <a:prstGeom prst="straightConnector1">
              <a:avLst/>
            </a:prstGeom>
            <a:ln>
              <a:solidFill>
                <a:srgbClr val="0000FF"/>
              </a:solidFill>
              <a:headEnd w="sm" len="sm"/>
              <a:tailEnd type="triangle" w="sm" len="sm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>
          <xdr:nvCxnSpPr>
            <xdr:cNvPr id="11" name="直接箭头连接符 10"/>
            <xdr:cNvCxnSpPr/>
          </xdr:nvCxnSpPr>
          <xdr:spPr>
            <a:xfrm>
              <a:off x="5436096" y="1153208"/>
              <a:ext cx="0" cy="324000"/>
            </a:xfrm>
            <a:prstGeom prst="straightConnector1">
              <a:avLst/>
            </a:prstGeom>
            <a:ln>
              <a:solidFill>
                <a:srgbClr val="C00000"/>
              </a:solidFill>
              <a:headEnd type="triangle" w="sm" len="sm"/>
              <a:tailEnd type="triangle" w="sm" len="sm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>
          <xdr:nvSpPr>
            <xdr:cNvPr id="12" name="文本框 100"/>
            <xdr:cNvSpPr txBox="1"/>
          </xdr:nvSpPr>
          <xdr:spPr>
            <a:xfrm>
              <a:off x="4321116" y="869517"/>
              <a:ext cx="600038" cy="276999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altLang="zh-CN" sz="1200" b="1">
                  <a:latin typeface="微软雅黑" panose="020B0503020204020204" pitchFamily="34" charset="-122"/>
                  <a:ea typeface="微软雅黑" panose="020B0503020204020204" pitchFamily="34" charset="-122"/>
                </a:rPr>
                <a:t>β</a:t>
              </a:r>
              <a:endParaRPr lang="zh-CN" altLang="en-US" sz="1200" b="1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>
          <xdr:nvSpPr>
            <xdr:cNvPr id="13" name="文本框 101"/>
            <xdr:cNvSpPr txBox="1"/>
          </xdr:nvSpPr>
          <xdr:spPr>
            <a:xfrm>
              <a:off x="5390350" y="1179321"/>
              <a:ext cx="600038" cy="276999"/>
            </a:xfrm>
            <a:prstGeom prst="rect">
              <a:avLst/>
            </a:prstGeom>
            <a:noFill/>
          </xdr:spPr>
          <xdr:txBody>
            <a:bodyPr wrap="square" rtlCol="0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altLang="zh-CN" sz="1200" b="1">
                  <a:latin typeface="微软雅黑" panose="020B0503020204020204" pitchFamily="34" charset="-122"/>
                  <a:ea typeface="微软雅黑" panose="020B0503020204020204" pitchFamily="34" charset="-122"/>
                </a:rPr>
                <a:t>t</a:t>
              </a:r>
              <a:endParaRPr lang="zh-CN" altLang="en-US" sz="1200" b="1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</xdr:grpSp>
      <xdr:cxnSp>
        <xdr:nvCxnSpPr>
          <xdr:cNvPr id="4" name="直接连接符 3"/>
          <xdr:cNvCxnSpPr/>
        </xdr:nvCxnSpPr>
        <xdr:spPr>
          <a:xfrm>
            <a:off x="4211960" y="1365979"/>
            <a:ext cx="0" cy="216000"/>
          </a:xfrm>
          <a:prstGeom prst="line">
            <a:avLst/>
          </a:prstGeom>
          <a:ln>
            <a:solidFill>
              <a:srgbClr val="0000FF"/>
            </a:solidFill>
            <a:prstDash val="dash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>
        <xdr:nvCxnSpPr>
          <xdr:cNvPr id="5" name="直接箭头连接符 4"/>
          <xdr:cNvCxnSpPr/>
        </xdr:nvCxnSpPr>
        <xdr:spPr>
          <a:xfrm>
            <a:off x="4226228" y="1484784"/>
            <a:ext cx="324000" cy="0"/>
          </a:xfrm>
          <a:prstGeom prst="straightConnector1">
            <a:avLst/>
          </a:prstGeom>
          <a:ln>
            <a:solidFill>
              <a:srgbClr val="C00000"/>
            </a:solidFill>
            <a:headEnd type="triangle" w="sm" len="sm"/>
            <a:tailEnd type="triangle" w="sm" len="sm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>
        <xdr:nvSpPr>
          <xdr:cNvPr id="6" name="文本框 94"/>
          <xdr:cNvSpPr txBox="1"/>
        </xdr:nvSpPr>
        <xdr:spPr>
          <a:xfrm>
            <a:off x="4190188" y="1445581"/>
            <a:ext cx="600038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zh-CN" sz="1200" b="1">
                <a:latin typeface="微软雅黑" panose="020B0503020204020204" pitchFamily="34" charset="-122"/>
                <a:ea typeface="微软雅黑" panose="020B0503020204020204" pitchFamily="34" charset="-122"/>
              </a:rPr>
              <a:t>x ?</a:t>
            </a:r>
            <a:endParaRPr lang="zh-CN" altLang="en-US" sz="1200" b="1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twoCellAnchor editAs="oneCell">
    <xdr:from>
      <xdr:col>8</xdr:col>
      <xdr:colOff>609600</xdr:colOff>
      <xdr:row>1</xdr:row>
      <xdr:rowOff>28575</xdr:rowOff>
    </xdr:from>
    <xdr:to>
      <xdr:col>13</xdr:col>
      <xdr:colOff>390005</xdr:colOff>
      <xdr:row>2</xdr:row>
      <xdr:rowOff>114268</xdr:rowOff>
    </xdr:to>
    <xdr:pic>
      <xdr:nvPicPr>
        <xdr:cNvPr id="35" name="图片 3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418320" y="211455"/>
          <a:ext cx="3719830" cy="26797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19</xdr:col>
      <xdr:colOff>320487</xdr:colOff>
      <xdr:row>23</xdr:row>
      <xdr:rowOff>0</xdr:rowOff>
    </xdr:from>
    <xdr:ext cx="4515832" cy="2588558"/>
    <xdr:pic>
      <xdr:nvPicPr>
        <xdr:cNvPr id="38" name="图片 37" descr="IMG2020628-08325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102340" y="5692140"/>
          <a:ext cx="4516120" cy="2588260"/>
        </a:xfrm>
        <a:prstGeom prst="rect">
          <a:avLst/>
        </a:prstGeom>
      </xdr:spPr>
    </xdr:pic>
    <xdr:clientData/>
  </xdr:oneCellAnchor>
  <xdr:twoCellAnchor>
    <xdr:from>
      <xdr:col>0</xdr:col>
      <xdr:colOff>190502</xdr:colOff>
      <xdr:row>23</xdr:row>
      <xdr:rowOff>0</xdr:rowOff>
    </xdr:from>
    <xdr:to>
      <xdr:col>19</xdr:col>
      <xdr:colOff>60027</xdr:colOff>
      <xdr:row>91</xdr:row>
      <xdr:rowOff>2103</xdr:rowOff>
    </xdr:to>
    <xdr:grpSp>
      <xdr:nvGrpSpPr>
        <xdr:cNvPr id="9" name="组合 8"/>
        <xdr:cNvGrpSpPr/>
      </xdr:nvGrpSpPr>
      <xdr:grpSpPr>
        <a:xfrm>
          <a:off x="190500" y="5692140"/>
          <a:ext cx="10651490" cy="12437745"/>
          <a:chOff x="44824" y="13222941"/>
          <a:chExt cx="12857143" cy="11432111"/>
        </a:xfrm>
      </xdr:grpSpPr>
      <xdr:pic>
        <xdr:nvPicPr>
          <xdr:cNvPr id="2" name="图片 1"/>
          <xdr:cNvPicPr>
            <a:picLocks noChangeAspect="1"/>
          </xdr:cNvPicPr>
        </xdr:nvPicPr>
        <xdr:blipFill>
          <a:blip r:embed="rId2"/>
          <a:stretch>
            <a:fillRect/>
          </a:stretch>
        </xdr:blipFill>
        <xdr:spPr>
          <a:xfrm>
            <a:off x="504264" y="16629534"/>
            <a:ext cx="12371428" cy="2457143"/>
          </a:xfrm>
          <a:prstGeom prst="rect">
            <a:avLst/>
          </a:prstGeom>
        </xdr:spPr>
      </xdr:pic>
      <xdr:pic>
        <xdr:nvPicPr>
          <xdr:cNvPr id="3" name="图片 2"/>
          <xdr:cNvPicPr>
            <a:picLocks noChangeAspect="1"/>
          </xdr:cNvPicPr>
        </xdr:nvPicPr>
        <xdr:blipFill>
          <a:blip r:embed="rId3"/>
          <a:stretch>
            <a:fillRect/>
          </a:stretch>
        </xdr:blipFill>
        <xdr:spPr>
          <a:xfrm>
            <a:off x="481852" y="19083623"/>
            <a:ext cx="12371428" cy="5571429"/>
          </a:xfrm>
          <a:prstGeom prst="rect">
            <a:avLst/>
          </a:prstGeom>
        </xdr:spPr>
      </xdr:pic>
      <xdr:pic>
        <xdr:nvPicPr>
          <xdr:cNvPr id="6" name="图片 5"/>
          <xdr:cNvPicPr>
            <a:picLocks noChangeAspect="1"/>
          </xdr:cNvPicPr>
        </xdr:nvPicPr>
        <xdr:blipFill>
          <a:blip r:embed="rId4"/>
          <a:stretch>
            <a:fillRect/>
          </a:stretch>
        </xdr:blipFill>
        <xdr:spPr>
          <a:xfrm>
            <a:off x="481854" y="13559118"/>
            <a:ext cx="12409524" cy="3076190"/>
          </a:xfrm>
          <a:prstGeom prst="rect">
            <a:avLst/>
          </a:prstGeom>
        </xdr:spPr>
      </xdr:pic>
      <xdr:pic>
        <xdr:nvPicPr>
          <xdr:cNvPr id="8" name="图片 7"/>
          <xdr:cNvPicPr>
            <a:picLocks noChangeAspect="1"/>
          </xdr:cNvPicPr>
        </xdr:nvPicPr>
        <xdr:blipFill>
          <a:blip r:embed="rId5"/>
          <a:stretch>
            <a:fillRect/>
          </a:stretch>
        </xdr:blipFill>
        <xdr:spPr>
          <a:xfrm>
            <a:off x="44824" y="13222941"/>
            <a:ext cx="12857143" cy="352381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616323</xdr:colOff>
      <xdr:row>2</xdr:row>
      <xdr:rowOff>179295</xdr:rowOff>
    </xdr:from>
    <xdr:to>
      <xdr:col>8</xdr:col>
      <xdr:colOff>0</xdr:colOff>
      <xdr:row>21</xdr:row>
      <xdr:rowOff>44528</xdr:rowOff>
    </xdr:to>
    <xdr:pic>
      <xdr:nvPicPr>
        <xdr:cNvPr id="4" name="图片 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19200" y="544830"/>
          <a:ext cx="3657600" cy="4677410"/>
        </a:xfrm>
        <a:prstGeom prst="rect">
          <a:avLst/>
        </a:prstGeom>
      </xdr:spPr>
    </xdr:pic>
    <xdr:clientData/>
  </xdr:twoCellAnchor>
  <xdr:twoCellAnchor>
    <xdr:from>
      <xdr:col>18</xdr:col>
      <xdr:colOff>392206</xdr:colOff>
      <xdr:row>18</xdr:row>
      <xdr:rowOff>0</xdr:rowOff>
    </xdr:from>
    <xdr:to>
      <xdr:col>24</xdr:col>
      <xdr:colOff>313765</xdr:colOff>
      <xdr:row>19</xdr:row>
      <xdr:rowOff>145676</xdr:rowOff>
    </xdr:to>
    <xdr:sp>
      <xdr:nvSpPr>
        <xdr:cNvPr id="5" name="矩形 4"/>
        <xdr:cNvSpPr/>
      </xdr:nvSpPr>
      <xdr:spPr>
        <a:xfrm>
          <a:off x="10564495" y="4406265"/>
          <a:ext cx="3236595" cy="402590"/>
        </a:xfrm>
        <a:prstGeom prst="rect">
          <a:avLst/>
        </a:prstGeom>
        <a:solidFill>
          <a:schemeClr val="bg1"/>
        </a:solidFill>
        <a:ln>
          <a:solidFill>
            <a:schemeClr val="bg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33617</xdr:colOff>
      <xdr:row>4</xdr:row>
      <xdr:rowOff>22411</xdr:rowOff>
    </xdr:from>
    <xdr:to>
      <xdr:col>27</xdr:col>
      <xdr:colOff>44824</xdr:colOff>
      <xdr:row>19</xdr:row>
      <xdr:rowOff>38736</xdr:rowOff>
    </xdr:to>
    <xdr:pic>
      <xdr:nvPicPr>
        <xdr:cNvPr id="14" name="图片 13"/>
        <xdr:cNvPicPr>
          <a:picLocks noChangeAspect="1" noChangeArrowheads="1"/>
        </xdr:cNvPicPr>
      </xdr:nvPicPr>
      <xdr:blipFill>
        <a:blip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023" t="9512" b="7802"/>
        <a:stretch>
          <a:fillRect/>
        </a:stretch>
      </xdr:blipFill>
      <xdr:spPr>
        <a:xfrm>
          <a:off x="6738620" y="828040"/>
          <a:ext cx="8622030" cy="3874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2</xdr:col>
      <xdr:colOff>743300</xdr:colOff>
      <xdr:row>149</xdr:row>
      <xdr:rowOff>0</xdr:rowOff>
    </xdr:from>
    <xdr:to>
      <xdr:col>3</xdr:col>
      <xdr:colOff>786194</xdr:colOff>
      <xdr:row>150</xdr:row>
      <xdr:rowOff>105549</xdr:rowOff>
    </xdr:to>
    <xdr:sp>
      <xdr:nvSpPr>
        <xdr:cNvPr id="83" name="TextBox 143"/>
        <xdr:cNvSpPr txBox="1">
          <a:spLocks noChangeArrowheads="1"/>
        </xdr:cNvSpPr>
      </xdr:nvSpPr>
      <xdr:spPr>
        <a:xfrm>
          <a:off x="2487930" y="30800040"/>
          <a:ext cx="1277620" cy="288290"/>
        </a:xfrm>
        <a:prstGeom prst="rect">
          <a:avLst/>
        </a:prstGeom>
        <a:noFill/>
        <a:ln w="9525">
          <a:noFill/>
          <a:miter lim="800000"/>
        </a:ln>
      </xdr:spPr>
      <xdr:txBody>
        <a:bodyPr wrap="square">
          <a:spAutoFit/>
        </a:bodyPr>
        <a:lstStyle>
          <a:defPPr>
            <a:defRPr lang="zh-CN"/>
          </a:defPPr>
          <a:lvl1pPr marL="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3429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6858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0287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3716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17145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0574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24003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27432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kumimoji="0" lang="en-US" altLang="zh-CN" sz="1200" b="0" i="0" u="none" strike="noStrike" kern="0" cap="none" spc="0" normalizeH="0" baseline="0">
              <a:ln>
                <a:noFill/>
              </a:ln>
              <a:solidFill>
                <a:prstClr val="black"/>
              </a:solidFill>
              <a:effectLst/>
              <a:uLnTx/>
              <a:uFillTx/>
            </a:rPr>
            <a:t>Bent</a:t>
          </a:r>
          <a:r>
            <a:rPr kumimoji="0" lang="zh-CN" altLang="en-US" sz="1200" b="0" i="0" u="none" strike="noStrike" kern="0" cap="none" spc="0" normalizeH="0" baseline="0">
              <a:ln>
                <a:noFill/>
              </a:ln>
              <a:solidFill>
                <a:prstClr val="black"/>
              </a:solidFill>
              <a:effectLst/>
              <a:uLnTx/>
              <a:uFillTx/>
            </a:rPr>
            <a:t>机种</a:t>
          </a:r>
          <a:endParaRPr kumimoji="0" lang="zh-CN" altLang="en-US" sz="1200" b="0" i="0" u="none" strike="noStrike" kern="0" cap="none" spc="0" normalizeH="0" baseline="0">
            <a:ln>
              <a:noFill/>
            </a:ln>
            <a:solidFill>
              <a:prstClr val="black"/>
            </a:solidFill>
            <a:effectLst/>
            <a:uLnTx/>
            <a:uFillTx/>
          </a:endParaRPr>
        </a:p>
      </xdr:txBody>
    </xdr:sp>
    <xdr:clientData/>
  </xdr:twoCellAnchor>
  <xdr:twoCellAnchor>
    <xdr:from>
      <xdr:col>1</xdr:col>
      <xdr:colOff>655</xdr:colOff>
      <xdr:row>226</xdr:row>
      <xdr:rowOff>23398</xdr:rowOff>
    </xdr:from>
    <xdr:to>
      <xdr:col>3</xdr:col>
      <xdr:colOff>532888</xdr:colOff>
      <xdr:row>227</xdr:row>
      <xdr:rowOff>68930</xdr:rowOff>
    </xdr:to>
    <xdr:sp>
      <xdr:nvSpPr>
        <xdr:cNvPr id="94" name="TextBox 6"/>
        <xdr:cNvSpPr txBox="1">
          <a:spLocks noChangeArrowheads="1"/>
        </xdr:cNvSpPr>
      </xdr:nvSpPr>
      <xdr:spPr>
        <a:xfrm>
          <a:off x="617855" y="45777150"/>
          <a:ext cx="2894330" cy="228600"/>
        </a:xfrm>
        <a:prstGeom prst="rect">
          <a:avLst/>
        </a:prstGeom>
        <a:noFill/>
        <a:ln w="9525">
          <a:noFill/>
          <a:miter lim="800000"/>
        </a:ln>
      </xdr:spPr>
      <xdr:txBody>
        <a:bodyPr wrap="square">
          <a:spAutoFit/>
        </a:bodyPr>
        <a:lstStyle>
          <a:defPPr>
            <a:defRPr lang="zh-CN"/>
          </a:defPPr>
          <a:lvl1pPr marL="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3429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6858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0287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3716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17145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0574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24003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27432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latinLnBrk="1">
            <a:lnSpc>
              <a:spcPct val="90000"/>
            </a:lnSpc>
            <a:spcBef>
              <a:spcPct val="40000"/>
            </a:spcBef>
          </a:pPr>
          <a:r>
            <a:rPr lang="en-US" altLang="zh-CN" sz="900" b="1">
              <a:latin typeface="Arial" panose="020B0604020202020204" pitchFamily="7" charset="0"/>
              <a:ea typeface="微软雅黑" panose="020B0503020204020204" pitchFamily="34" charset="-122"/>
            </a:rPr>
            <a:t>Tab.2  12.6 ASUS T304</a:t>
          </a:r>
          <a:r>
            <a:rPr lang="zh-CN" altLang="en-US" sz="900" b="1">
              <a:latin typeface="Arial" panose="020B0604020202020204" pitchFamily="7" charset="0"/>
              <a:ea typeface="微软雅黑" panose="020B0503020204020204" pitchFamily="34" charset="-122"/>
            </a:rPr>
            <a:t>背板全封</a:t>
          </a:r>
          <a:r>
            <a:rPr lang="en-US" altLang="zh-CN" sz="900" b="1">
              <a:latin typeface="Arial" panose="020B0604020202020204" pitchFamily="7" charset="0"/>
              <a:ea typeface="微软雅黑" panose="020B0503020204020204" pitchFamily="34" charset="-122"/>
            </a:rPr>
            <a:t>MDL</a:t>
          </a:r>
          <a:r>
            <a:rPr lang="zh-CN" altLang="en-US" sz="900" b="1">
              <a:latin typeface="Arial" panose="020B0604020202020204" pitchFamily="7" charset="0"/>
              <a:ea typeface="微软雅黑" panose="020B0503020204020204" pitchFamily="34" charset="-122"/>
            </a:rPr>
            <a:t>重量分布表格</a:t>
          </a:r>
          <a:r>
            <a:rPr lang="en-US" altLang="zh-CN" sz="900" b="1">
              <a:latin typeface="Arial" panose="020B0604020202020204" pitchFamily="7" charset="0"/>
              <a:ea typeface="微软雅黑" panose="020B0503020204020204" pitchFamily="34" charset="-122"/>
            </a:rPr>
            <a:t> </a:t>
          </a:r>
          <a:endParaRPr lang="zh-CN" altLang="en-US" sz="900" b="1">
            <a:latin typeface="Arial" panose="020B0604020202020204" pitchFamily="7" charset="0"/>
            <a:ea typeface="微软雅黑" panose="020B0503020204020204" pitchFamily="34" charset="-122"/>
          </a:endParaRPr>
        </a:p>
      </xdr:txBody>
    </xdr:sp>
    <xdr:clientData/>
  </xdr:twoCellAnchor>
  <xdr:twoCellAnchor>
    <xdr:from>
      <xdr:col>0</xdr:col>
      <xdr:colOff>666750</xdr:colOff>
      <xdr:row>222</xdr:row>
      <xdr:rowOff>47625</xdr:rowOff>
    </xdr:from>
    <xdr:to>
      <xdr:col>2</xdr:col>
      <xdr:colOff>407194</xdr:colOff>
      <xdr:row>223</xdr:row>
      <xdr:rowOff>166511</xdr:rowOff>
    </xdr:to>
    <xdr:sp>
      <xdr:nvSpPr>
        <xdr:cNvPr id="95" name="TextBox 4"/>
        <xdr:cNvSpPr txBox="1">
          <a:spLocks noChangeArrowheads="1"/>
        </xdr:cNvSpPr>
      </xdr:nvSpPr>
      <xdr:spPr>
        <a:xfrm>
          <a:off x="617220" y="45070395"/>
          <a:ext cx="1534795" cy="301625"/>
        </a:xfrm>
        <a:prstGeom prst="rect">
          <a:avLst/>
        </a:prstGeom>
        <a:noFill/>
        <a:ln w="9525">
          <a:noFill/>
          <a:miter lim="800000"/>
        </a:ln>
      </xdr:spPr>
      <xdr:txBody>
        <a:bodyPr wrap="square">
          <a:spAutoFit/>
        </a:bodyPr>
        <a:lstStyle>
          <a:defPPr>
            <a:defRPr lang="zh-CN"/>
          </a:defPPr>
          <a:lvl1pPr marL="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3429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6858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0287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3716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17145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0574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24003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2743200" algn="l" defTabSz="685800" rtl="0" eaLnBrk="1" latinLnBrk="0" hangingPunct="1">
            <a:defRPr sz="135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900" b="1">
              <a:latin typeface="微软雅黑" panose="020B0503020204020204" pitchFamily="34" charset="-122"/>
              <a:ea typeface="微软雅黑" panose="020B0503020204020204" pitchFamily="34" charset="-122"/>
            </a:rPr>
            <a:t>Tab.1 MDL </a:t>
          </a:r>
          <a:r>
            <a:rPr lang="zh-CN" altLang="en-US" sz="900" b="1">
              <a:latin typeface="微软雅黑" panose="020B0503020204020204" pitchFamily="34" charset="-122"/>
              <a:ea typeface="微软雅黑" panose="020B0503020204020204" pitchFamily="34" charset="-122"/>
            </a:rPr>
            <a:t>重量目标值</a:t>
          </a:r>
          <a:endParaRPr lang="zh-CN" altLang="en-US" sz="900" b="1"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1400175</xdr:colOff>
      <xdr:row>20</xdr:row>
      <xdr:rowOff>95250</xdr:rowOff>
    </xdr:from>
    <xdr:to>
      <xdr:col>6</xdr:col>
      <xdr:colOff>314325</xdr:colOff>
      <xdr:row>29</xdr:row>
      <xdr:rowOff>145585</xdr:rowOff>
    </xdr:to>
    <xdr:sp>
      <xdr:nvSpPr>
        <xdr:cNvPr id="2" name="文本框 8"/>
        <xdr:cNvSpPr txBox="1"/>
      </xdr:nvSpPr>
      <xdr:spPr>
        <a:xfrm>
          <a:off x="1264920" y="2853690"/>
          <a:ext cx="4672965" cy="1696085"/>
        </a:xfrm>
        <a:prstGeom prst="rect">
          <a:avLst/>
        </a:prstGeom>
        <a:solidFill>
          <a:srgbClr val="92D050"/>
        </a:solidFill>
      </xdr:spPr>
      <xdr:txBody>
        <a:bodyPr wrap="square" rtlCol="0">
          <a:sp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marL="171450" indent="-171450">
            <a:lnSpc>
              <a:spcPct val="150000"/>
            </a:lnSpc>
            <a:buFont typeface="Wingdings" panose="05000000000000000000" pitchFamily="2" charset="2"/>
            <a:buChar char="Ø"/>
          </a:pPr>
          <a:r>
            <a:rPr lang="zh-CN" altLang="en-US" sz="1200"/>
            <a:t>风险判定基准：</a:t>
          </a:r>
          <a:endParaRPr lang="en-US" altLang="zh-CN" sz="1200"/>
        </a:p>
        <a:p>
          <a:pPr marL="228600" indent="-228600">
            <a:lnSpc>
              <a:spcPct val="150000"/>
            </a:lnSpc>
            <a:buFont typeface="+mj-lt"/>
            <a:buAutoNum type="arabicPeriod"/>
          </a:pPr>
          <a:r>
            <a:rPr lang="zh-CN" altLang="en-US" sz="1200"/>
            <a:t>≤</a:t>
          </a:r>
          <a:r>
            <a:rPr lang="en-US" altLang="zh-CN" sz="1200"/>
            <a:t>0.3</a:t>
          </a:r>
          <a:r>
            <a:rPr lang="zh-CN" altLang="en-US" sz="1200"/>
            <a:t>占比</a:t>
          </a:r>
          <a:r>
            <a:rPr lang="en-US" altLang="zh-CN" sz="1200"/>
            <a:t>90%</a:t>
          </a:r>
          <a:r>
            <a:rPr lang="zh-CN" altLang="en-US" sz="1200"/>
            <a:t>以上，≤</a:t>
          </a:r>
          <a:r>
            <a:rPr lang="en-US" altLang="zh-CN" sz="1200"/>
            <a:t>0.4</a:t>
          </a:r>
          <a:r>
            <a:rPr lang="zh-CN" altLang="en-US" sz="1200"/>
            <a:t>占比</a:t>
          </a:r>
          <a:r>
            <a:rPr lang="en-US" altLang="zh-CN" sz="1200"/>
            <a:t>95%</a:t>
          </a:r>
          <a:r>
            <a:rPr lang="zh-CN" altLang="en-US" sz="1200"/>
            <a:t>以上，判定低风险；</a:t>
          </a:r>
          <a:endParaRPr lang="en-US" altLang="zh-CN" sz="1200"/>
        </a:p>
        <a:p>
          <a:pPr marL="228600" indent="-228600">
            <a:lnSpc>
              <a:spcPct val="150000"/>
            </a:lnSpc>
            <a:buFont typeface="+mj-lt"/>
            <a:buAutoNum type="arabicPeriod"/>
          </a:pPr>
          <a:r>
            <a:rPr lang="zh-CN" altLang="en-US" sz="1200"/>
            <a:t>≤</a:t>
          </a:r>
          <a:r>
            <a:rPr lang="en-US" altLang="zh-CN" sz="1200"/>
            <a:t>0.3</a:t>
          </a:r>
          <a:r>
            <a:rPr lang="zh-CN" altLang="en-US" sz="1200"/>
            <a:t>占比</a:t>
          </a:r>
          <a:r>
            <a:rPr lang="en-US" altLang="zh-CN" sz="1200"/>
            <a:t>80%</a:t>
          </a:r>
          <a:r>
            <a:rPr lang="zh-CN" altLang="en-US" sz="1200"/>
            <a:t>以上，≤</a:t>
          </a:r>
          <a:r>
            <a:rPr lang="en-US" altLang="zh-CN" sz="1200"/>
            <a:t>0.4</a:t>
          </a:r>
          <a:r>
            <a:rPr lang="zh-CN" altLang="en-US" sz="1200"/>
            <a:t>占比</a:t>
          </a:r>
          <a:r>
            <a:rPr lang="en-US" altLang="zh-CN" sz="1200"/>
            <a:t>90%</a:t>
          </a:r>
          <a:r>
            <a:rPr lang="zh-CN" altLang="en-US" sz="1200"/>
            <a:t>以上，判定中风险；</a:t>
          </a:r>
          <a:endParaRPr lang="en-US" altLang="zh-CN" sz="1200"/>
        </a:p>
        <a:p>
          <a:pPr marL="228600" indent="-228600">
            <a:lnSpc>
              <a:spcPct val="150000"/>
            </a:lnSpc>
            <a:buFont typeface="+mj-lt"/>
            <a:buAutoNum type="arabicPeriod"/>
          </a:pPr>
          <a:r>
            <a:rPr lang="zh-CN" altLang="en-US" sz="1200"/>
            <a:t>≤</a:t>
          </a:r>
          <a:r>
            <a:rPr lang="en-US" altLang="zh-CN" sz="1200"/>
            <a:t>0.3</a:t>
          </a:r>
          <a:r>
            <a:rPr lang="zh-CN" altLang="en-US" sz="1200"/>
            <a:t>占比</a:t>
          </a:r>
          <a:r>
            <a:rPr lang="en-US" altLang="zh-CN" sz="1200"/>
            <a:t>80%</a:t>
          </a:r>
          <a:r>
            <a:rPr lang="zh-CN" altLang="en-US" sz="1200"/>
            <a:t>以下，≤</a:t>
          </a:r>
          <a:r>
            <a:rPr lang="en-US" altLang="zh-CN" sz="1200"/>
            <a:t>0.4</a:t>
          </a:r>
          <a:r>
            <a:rPr lang="zh-CN" altLang="en-US" sz="1200"/>
            <a:t>占比</a:t>
          </a:r>
          <a:r>
            <a:rPr lang="en-US" altLang="zh-CN" sz="1200"/>
            <a:t>90%</a:t>
          </a:r>
          <a:r>
            <a:rPr lang="zh-CN" altLang="en-US" sz="1200"/>
            <a:t>以下，判定高风险；</a:t>
          </a:r>
          <a:endParaRPr lang="en-US" altLang="zh-CN" sz="1200"/>
        </a:p>
        <a:p>
          <a:pPr marL="228600" indent="-228600">
            <a:lnSpc>
              <a:spcPct val="150000"/>
            </a:lnSpc>
            <a:buFont typeface="+mj-lt"/>
            <a:buAutoNum type="arabicPeriod"/>
          </a:pPr>
          <a:r>
            <a:rPr lang="zh-CN" altLang="en-US" sz="1200"/>
            <a:t>满足其中之一，可判定风险等级；</a:t>
          </a:r>
          <a:endParaRPr lang="zh-CN" altLang="en-US" sz="1200"/>
        </a:p>
      </xdr:txBody>
    </xdr:sp>
    <xdr:clientData/>
  </xdr:twoCellAnchor>
  <xdr:twoCellAnchor>
    <xdr:from>
      <xdr:col>1</xdr:col>
      <xdr:colOff>0</xdr:colOff>
      <xdr:row>30</xdr:row>
      <xdr:rowOff>152400</xdr:rowOff>
    </xdr:from>
    <xdr:to>
      <xdr:col>6</xdr:col>
      <xdr:colOff>276225</xdr:colOff>
      <xdr:row>38</xdr:row>
      <xdr:rowOff>73975</xdr:rowOff>
    </xdr:to>
    <xdr:sp>
      <xdr:nvSpPr>
        <xdr:cNvPr id="3" name="文本框 8"/>
        <xdr:cNvSpPr txBox="1"/>
      </xdr:nvSpPr>
      <xdr:spPr>
        <a:xfrm>
          <a:off x="1264920" y="4739640"/>
          <a:ext cx="4634865" cy="1384300"/>
        </a:xfrm>
        <a:prstGeom prst="rect">
          <a:avLst/>
        </a:prstGeom>
        <a:solidFill>
          <a:srgbClr val="92D050"/>
        </a:solidFill>
      </xdr:spPr>
      <xdr:txBody>
        <a:bodyPr wrap="square" rtlCol="0">
          <a:sp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marL="171450" indent="-171450">
            <a:lnSpc>
              <a:spcPct val="150000"/>
            </a:lnSpc>
            <a:buFont typeface="Wingdings" panose="05000000000000000000" pitchFamily="2" charset="2"/>
            <a:buChar char="Ø"/>
          </a:pPr>
          <a:r>
            <a:rPr lang="zh-CN" altLang="en-US" sz="1200"/>
            <a:t>尺寸判定基准：</a:t>
          </a:r>
          <a:endParaRPr lang="en-US" altLang="zh-CN" sz="1200"/>
        </a:p>
        <a:p>
          <a:pPr marL="228600" indent="-228600">
            <a:lnSpc>
              <a:spcPct val="150000"/>
            </a:lnSpc>
            <a:buFont typeface="+mj-lt"/>
            <a:buAutoNum type="arabicPeriod"/>
          </a:pPr>
          <a:r>
            <a:rPr lang="zh-CN" altLang="en-US" sz="1200"/>
            <a:t>≤</a:t>
          </a:r>
          <a:r>
            <a:rPr lang="en-US" altLang="zh-CN" sz="1200"/>
            <a:t>14"</a:t>
          </a:r>
          <a:r>
            <a:rPr lang="zh-CN" altLang="en-US" sz="1200"/>
            <a:t>：小尺寸；</a:t>
          </a:r>
          <a:endParaRPr lang="en-US" altLang="zh-CN" sz="1200"/>
        </a:p>
        <a:p>
          <a:pPr marL="228600" indent="-228600">
            <a:lnSpc>
              <a:spcPct val="150000"/>
            </a:lnSpc>
            <a:buFont typeface="+mj-lt"/>
            <a:buAutoNum type="arabicPeriod"/>
          </a:pPr>
          <a:r>
            <a:rPr lang="en-US" altLang="zh-CN" sz="1200"/>
            <a:t>15"-16"</a:t>
          </a:r>
          <a:r>
            <a:rPr lang="zh-CN" altLang="en-US" sz="1200"/>
            <a:t>：中尺寸；</a:t>
          </a:r>
          <a:endParaRPr lang="en-US" altLang="zh-CN" sz="1200"/>
        </a:p>
        <a:p>
          <a:pPr marL="228600" indent="-228600">
            <a:lnSpc>
              <a:spcPct val="150000"/>
            </a:lnSpc>
            <a:buFont typeface="+mj-lt"/>
            <a:buAutoNum type="arabicPeriod"/>
          </a:pPr>
          <a:r>
            <a:rPr lang="en-US" altLang="zh-CN" sz="1200"/>
            <a:t>17.3"-18"</a:t>
          </a:r>
          <a:r>
            <a:rPr lang="zh-CN" altLang="en-US" sz="1200"/>
            <a:t>：大尺寸</a:t>
          </a:r>
          <a:endParaRPr lang="en-US" altLang="zh-CN" sz="1200"/>
        </a:p>
      </xdr:txBody>
    </xdr:sp>
    <xdr:clientData/>
  </xdr:twoCellAnchor>
  <xdr:twoCellAnchor>
    <xdr:from>
      <xdr:col>0</xdr:col>
      <xdr:colOff>1400174</xdr:colOff>
      <xdr:row>39</xdr:row>
      <xdr:rowOff>66675</xdr:rowOff>
    </xdr:from>
    <xdr:to>
      <xdr:col>6</xdr:col>
      <xdr:colOff>276224</xdr:colOff>
      <xdr:row>45</xdr:row>
      <xdr:rowOff>30939</xdr:rowOff>
    </xdr:to>
    <xdr:sp>
      <xdr:nvSpPr>
        <xdr:cNvPr id="4" name="文本框 8"/>
        <xdr:cNvSpPr txBox="1"/>
      </xdr:nvSpPr>
      <xdr:spPr>
        <a:xfrm>
          <a:off x="1264920" y="6299835"/>
          <a:ext cx="4634230" cy="1061085"/>
        </a:xfrm>
        <a:prstGeom prst="rect">
          <a:avLst/>
        </a:prstGeom>
        <a:solidFill>
          <a:srgbClr val="92D050"/>
        </a:solidFill>
      </xdr:spPr>
      <xdr:txBody>
        <a:bodyPr wrap="square" rtlCol="0">
          <a:spAutoFit/>
        </a:bodyPr>
        <a:lstStyle>
          <a:defPPr>
            <a:defRPr lang="zh-CN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marL="171450" indent="-171450">
            <a:lnSpc>
              <a:spcPct val="150000"/>
            </a:lnSpc>
            <a:buFont typeface="Wingdings" panose="05000000000000000000" pitchFamily="2" charset="2"/>
            <a:buChar char="Ø"/>
          </a:pPr>
          <a:r>
            <a:rPr lang="zh-CN" altLang="en-US" sz="1200"/>
            <a:t>玻璃材质判定标准：</a:t>
          </a:r>
          <a:endParaRPr lang="en-US" altLang="zh-CN" sz="1200"/>
        </a:p>
        <a:p>
          <a:pPr marL="228600" indent="-228600">
            <a:lnSpc>
              <a:spcPct val="150000"/>
            </a:lnSpc>
            <a:buFont typeface="+mj-lt"/>
            <a:buAutoNum type="arabicPeriod"/>
          </a:pPr>
          <a:r>
            <a:rPr lang="en-US" altLang="zh-CN" sz="1200"/>
            <a:t>AGC</a:t>
          </a:r>
          <a:r>
            <a:rPr lang="zh-CN" altLang="en-US" sz="1200"/>
            <a:t>和</a:t>
          </a:r>
          <a:r>
            <a:rPr lang="en-US" altLang="zh-CN" sz="1200"/>
            <a:t>Astra</a:t>
          </a:r>
          <a:r>
            <a:rPr lang="zh-CN" altLang="en-US" sz="1200"/>
            <a:t>相当；</a:t>
          </a:r>
          <a:endParaRPr lang="en-US" altLang="zh-CN" sz="1200"/>
        </a:p>
        <a:p>
          <a:pPr marL="228600" indent="-228600">
            <a:lnSpc>
              <a:spcPct val="150000"/>
            </a:lnSpc>
            <a:buFont typeface="+mj-lt"/>
            <a:buAutoNum type="arabicPeriod"/>
          </a:pPr>
          <a:r>
            <a:rPr lang="en-US" altLang="zh-CN" sz="1200"/>
            <a:t>NEG</a:t>
          </a:r>
          <a:r>
            <a:rPr lang="zh-CN" altLang="en-US" sz="1200"/>
            <a:t>和</a:t>
          </a:r>
          <a:r>
            <a:rPr lang="en-US" altLang="zh-CN" sz="1200"/>
            <a:t>EXG</a:t>
          </a:r>
          <a:r>
            <a:rPr lang="zh-CN" altLang="en-US" sz="1200"/>
            <a:t>按水平相当评估（暂无实测数据）；</a:t>
          </a:r>
          <a:endParaRPr lang="en-US" altLang="zh-CN" sz="12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46</xdr:row>
      <xdr:rowOff>142875</xdr:rowOff>
    </xdr:from>
    <xdr:to>
      <xdr:col>7</xdr:col>
      <xdr:colOff>369086</xdr:colOff>
      <xdr:row>51</xdr:row>
      <xdr:rowOff>97525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7220" y="14076045"/>
          <a:ext cx="10335895" cy="94488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10</xdr:col>
      <xdr:colOff>1333500</xdr:colOff>
      <xdr:row>5</xdr:row>
      <xdr:rowOff>0</xdr:rowOff>
    </xdr:from>
    <xdr:ext cx="184731" cy="264560"/>
    <xdr:sp>
      <xdr:nvSpPr>
        <xdr:cNvPr id="2" name="文本框 1"/>
        <xdr:cNvSpPr txBox="1"/>
      </xdr:nvSpPr>
      <xdr:spPr>
        <a:xfrm>
          <a:off x="10408920" y="1455420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zh-CN" altLang="en-US" sz="1100"/>
        </a:p>
      </xdr:txBody>
    </xdr:sp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amy74\Desktop\&#27231;&#31278;&#35413;&#20272;Template_Flat_&#29256;&#26412;A4_200902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NAS-CL01-EVS5\B3-COA-data05\EEEok\9-&#25968;&#23383;&#21270;&#21464;&#38761;\1-&#26426;&#20809;&#26816;&#35752;&#24037;&#20855;&#34920;&#26684;\A18\&#26426;&#20809;&#26816;&#35752;Template_Flat_&#29256;&#26412;A18_220214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HNAS-CL01-EVS5\B3-COA-data05\EEEok\9-&#25968;&#23383;&#21270;&#21464;&#38761;\1-&#26426;&#20809;&#26816;&#35752;&#24037;&#20855;&#34920;&#26684;\A29\&#26426;&#20809;&#26816;&#35752;Template_Flat_&#29256;&#26412;A28_230317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版本變更履歷"/>
      <sheetName val="Summary"/>
      <sheetName val="亮度與BLU功耗"/>
      <sheetName val="Outline_X_Y"/>
      <sheetName val="Thickness &amp; Weight"/>
      <sheetName val="Cell Tape 貼覆面積"/>
      <sheetName val="量產機種資料"/>
      <sheetName val="LED選型"/>
      <sheetName val="LED-電流與最大電壓"/>
      <sheetName val="U-Diff.選型"/>
      <sheetName val="棱鏡片選型"/>
      <sheetName val="D-Diff.選型"/>
      <sheetName val="Ref.選型"/>
      <sheetName val="玻璃穿透率參考"/>
      <sheetName val="LED Driver 效率_100%"/>
      <sheetName val="原始增益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版本變更履歷"/>
      <sheetName val="BOM List格式（附件上传）"/>
      <sheetName val="Flat方程式"/>
      <sheetName val="Summary"/>
      <sheetName val="亮度與BLU功耗"/>
      <sheetName val="Thickness &amp; Weight"/>
      <sheetName val="Outline_X_Y"/>
      <sheetName val="Cell Tape 貼覆面積"/>
      <sheetName val="Open Cell"/>
      <sheetName val="量產機種資料"/>
      <sheetName val="U-Diff.選型"/>
      <sheetName val="棱鏡片選型"/>
      <sheetName val="D-Diff.選型"/>
      <sheetName val="Ref.選型"/>
      <sheetName val="LED選型"/>
      <sheetName val="LED-電流與最大電壓"/>
      <sheetName val="LED Driver 效率_100%"/>
      <sheetName val="LED Driver 效率_duty_其他"/>
      <sheetName val="背板"/>
      <sheetName val="胶框"/>
      <sheetName val="LGP "/>
      <sheetName val="玻璃穿透率參考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Section量产数据库"/>
      <sheetName val="版本變更履歷"/>
      <sheetName val="检讨报告"/>
      <sheetName val="检讨数据库"/>
      <sheetName val="Flat方程式"/>
      <sheetName val="BOM List格式（附件上传）"/>
      <sheetName val="Summary"/>
      <sheetName val="亮度與BLU功耗"/>
      <sheetName val="Thickness &amp; Weight"/>
      <sheetName val="Outline_X_Y"/>
      <sheetName val="Cell Tape 貼覆面積"/>
      <sheetName val="Open Cell"/>
      <sheetName val="量產機種資料"/>
      <sheetName val="砝码漏光模拟"/>
      <sheetName val="U-Diff.選型"/>
      <sheetName val="棱鏡片選型"/>
      <sheetName val="D-Diff.選型"/>
      <sheetName val="Ref.選型"/>
      <sheetName val="量产数据库(自动提取)"/>
      <sheetName val="LED選型"/>
      <sheetName val="背板"/>
      <sheetName val="胶框"/>
      <sheetName val="LGP "/>
      <sheetName val="Cell tape"/>
      <sheetName val="吸波材"/>
      <sheetName val="导电布"/>
      <sheetName val="LED-電流與最大電壓"/>
      <sheetName val="LED Driver 效率_100%"/>
      <sheetName val="LED Driver 效率_duty_其他"/>
      <sheetName val="LED Driver 效率_duty_其他 (4206)"/>
      <sheetName val="LED Driver 效率_duty_其他 (3105)"/>
      <sheetName val="玻璃穿透率參考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</sheetDataSet>
  </externalBook>
</externalLink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mailto:***@150nit/**@60nit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jpeg"/><Relationship Id="rId1" Type="http://schemas.openxmlformats.org/officeDocument/2006/relationships/drawing" Target="../drawings/drawing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drawing" Target="../drawings/drawing1.xml"/></Relationships>
</file>

<file path=xl/worksheets/_rels/sheet21.xml.rels><?xml version="1.0" encoding="UTF-8" standalone="yes"?>
<Relationships xmlns="http://schemas.openxmlformats.org/package/2006/relationships"><Relationship Id="rId9" Type="http://schemas.openxmlformats.org/officeDocument/2006/relationships/image" Target="../media/image38.emf"/><Relationship Id="rId8" Type="http://schemas.openxmlformats.org/officeDocument/2006/relationships/package" Target="../embeddings/Workbook3.xlsx"/><Relationship Id="rId7" Type="http://schemas.openxmlformats.org/officeDocument/2006/relationships/image" Target="../media/image37.emf"/><Relationship Id="rId6" Type="http://schemas.openxmlformats.org/officeDocument/2006/relationships/package" Target="../embeddings/Workbook2.xlsx"/><Relationship Id="rId5" Type="http://schemas.openxmlformats.org/officeDocument/2006/relationships/image" Target="../media/image36.emf"/><Relationship Id="rId48" Type="http://schemas.openxmlformats.org/officeDocument/2006/relationships/package" Target="../embeddings/Workbook26.xlsx"/><Relationship Id="rId47" Type="http://schemas.openxmlformats.org/officeDocument/2006/relationships/package" Target="../embeddings/Workbook25.xlsx"/><Relationship Id="rId46" Type="http://schemas.openxmlformats.org/officeDocument/2006/relationships/package" Target="../embeddings/Workbook24.xlsx"/><Relationship Id="rId45" Type="http://schemas.openxmlformats.org/officeDocument/2006/relationships/package" Target="../embeddings/Workbook23.xlsx"/><Relationship Id="rId44" Type="http://schemas.openxmlformats.org/officeDocument/2006/relationships/package" Target="../embeddings/Workbook22.xlsx"/><Relationship Id="rId43" Type="http://schemas.openxmlformats.org/officeDocument/2006/relationships/package" Target="../embeddings/Workbook21.xlsx"/><Relationship Id="rId42" Type="http://schemas.openxmlformats.org/officeDocument/2006/relationships/image" Target="../media/image54.emf"/><Relationship Id="rId41" Type="http://schemas.openxmlformats.org/officeDocument/2006/relationships/oleObject" Target="../embeddings/Workbook20.xls"/><Relationship Id="rId40" Type="http://schemas.openxmlformats.org/officeDocument/2006/relationships/image" Target="../media/image53.emf"/><Relationship Id="rId4" Type="http://schemas.openxmlformats.org/officeDocument/2006/relationships/package" Target="../embeddings/Workbook1.xlsx"/><Relationship Id="rId39" Type="http://schemas.openxmlformats.org/officeDocument/2006/relationships/package" Target="../embeddings/Workbook19.xlsx"/><Relationship Id="rId38" Type="http://schemas.openxmlformats.org/officeDocument/2006/relationships/image" Target="../media/image52.emf"/><Relationship Id="rId37" Type="http://schemas.openxmlformats.org/officeDocument/2006/relationships/package" Target="../embeddings/Workbook18.xlsx"/><Relationship Id="rId36" Type="http://schemas.openxmlformats.org/officeDocument/2006/relationships/image" Target="../media/image51.emf"/><Relationship Id="rId35" Type="http://schemas.openxmlformats.org/officeDocument/2006/relationships/package" Target="../embeddings/Workbook17.xlsx"/><Relationship Id="rId34" Type="http://schemas.openxmlformats.org/officeDocument/2006/relationships/image" Target="../media/image50.emf"/><Relationship Id="rId33" Type="http://schemas.openxmlformats.org/officeDocument/2006/relationships/package" Target="../embeddings/Workbook16.xlsx"/><Relationship Id="rId32" Type="http://schemas.openxmlformats.org/officeDocument/2006/relationships/image" Target="../media/image49.emf"/><Relationship Id="rId31" Type="http://schemas.openxmlformats.org/officeDocument/2006/relationships/package" Target="../embeddings/Workbook15.xlsx"/><Relationship Id="rId30" Type="http://schemas.openxmlformats.org/officeDocument/2006/relationships/image" Target="../media/image48.emf"/><Relationship Id="rId3" Type="http://schemas.openxmlformats.org/officeDocument/2006/relationships/vmlDrawing" Target="../drawings/vmlDrawing4.vml"/><Relationship Id="rId29" Type="http://schemas.openxmlformats.org/officeDocument/2006/relationships/package" Target="../embeddings/Workbook14.xlsx"/><Relationship Id="rId28" Type="http://schemas.openxmlformats.org/officeDocument/2006/relationships/image" Target="../media/image47.emf"/><Relationship Id="rId27" Type="http://schemas.openxmlformats.org/officeDocument/2006/relationships/package" Target="../embeddings/Workbook13.xlsx"/><Relationship Id="rId26" Type="http://schemas.openxmlformats.org/officeDocument/2006/relationships/image" Target="../media/image46.emf"/><Relationship Id="rId25" Type="http://schemas.openxmlformats.org/officeDocument/2006/relationships/package" Target="../embeddings/Workbook12.xlsx"/><Relationship Id="rId24" Type="http://schemas.openxmlformats.org/officeDocument/2006/relationships/image" Target="../media/image45.emf"/><Relationship Id="rId23" Type="http://schemas.openxmlformats.org/officeDocument/2006/relationships/package" Target="../embeddings/Workbook11.xlsx"/><Relationship Id="rId22" Type="http://schemas.openxmlformats.org/officeDocument/2006/relationships/image" Target="../media/image44.emf"/><Relationship Id="rId21" Type="http://schemas.openxmlformats.org/officeDocument/2006/relationships/package" Target="../embeddings/Workbook10.xlsx"/><Relationship Id="rId20" Type="http://schemas.openxmlformats.org/officeDocument/2006/relationships/image" Target="../media/image43.emf"/><Relationship Id="rId2" Type="http://schemas.openxmlformats.org/officeDocument/2006/relationships/drawing" Target="../drawings/drawing10.xml"/><Relationship Id="rId19" Type="http://schemas.openxmlformats.org/officeDocument/2006/relationships/package" Target="../embeddings/Workbook9.xlsx"/><Relationship Id="rId18" Type="http://schemas.openxmlformats.org/officeDocument/2006/relationships/image" Target="../media/image42.emf"/><Relationship Id="rId17" Type="http://schemas.openxmlformats.org/officeDocument/2006/relationships/package" Target="../embeddings/Workbook8.xlsx"/><Relationship Id="rId16" Type="http://schemas.openxmlformats.org/officeDocument/2006/relationships/image" Target="../media/image41.emf"/><Relationship Id="rId15" Type="http://schemas.openxmlformats.org/officeDocument/2006/relationships/package" Target="../embeddings/Workbook7.xlsx"/><Relationship Id="rId14" Type="http://schemas.openxmlformats.org/officeDocument/2006/relationships/image" Target="../media/image40.emf"/><Relationship Id="rId13" Type="http://schemas.openxmlformats.org/officeDocument/2006/relationships/package" Target="../embeddings/Workbook6.xlsx"/><Relationship Id="rId12" Type="http://schemas.openxmlformats.org/officeDocument/2006/relationships/package" Target="../embeddings/Workbook5.xlsx"/><Relationship Id="rId11" Type="http://schemas.openxmlformats.org/officeDocument/2006/relationships/image" Target="../media/image39.emf"/><Relationship Id="rId10" Type="http://schemas.openxmlformats.org/officeDocument/2006/relationships/package" Target="../embeddings/Workbook4.xlsx"/><Relationship Id="rId1" Type="http://schemas.openxmlformats.org/officeDocument/2006/relationships/comments" Target="../comments4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13.xml"/><Relationship Id="rId1" Type="http://schemas.openxmlformats.org/officeDocument/2006/relationships/comments" Target="../comments5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comments" Target="../comments1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comments" Target="../comments2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comments" Target="../comments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4"/>
  <dimension ref="A2:G111"/>
  <sheetViews>
    <sheetView workbookViewId="0">
      <selection activeCell="J117" sqref="J117"/>
    </sheetView>
  </sheetViews>
  <sheetFormatPr defaultColWidth="8.88888888888889" defaultRowHeight="10.8" outlineLevelCol="6"/>
  <cols>
    <col min="1" max="1" width="3.66666666666667" style="2699" customWidth="1"/>
    <col min="2" max="2" width="10.2222222222222" style="2699" customWidth="1"/>
    <col min="3" max="3" width="14" style="2699" customWidth="1"/>
    <col min="4" max="4" width="11.1111111111111" style="2699" customWidth="1"/>
    <col min="5" max="5" width="13.6666666666667" style="2699" customWidth="1"/>
    <col min="6" max="6" width="5.44444444444444" style="2699" customWidth="1"/>
    <col min="7" max="16384" width="8.88888888888889" style="2699"/>
  </cols>
  <sheetData>
    <row r="2" ht="12" spans="2:6">
      <c r="B2" s="2700" t="s">
        <v>0</v>
      </c>
      <c r="C2" s="2700"/>
      <c r="D2" s="2700"/>
      <c r="E2" s="2700"/>
      <c r="F2" s="2700"/>
    </row>
    <row r="3" ht="12" spans="2:6">
      <c r="B3" s="2700" t="s">
        <v>1</v>
      </c>
      <c r="C3" s="2701" t="s">
        <v>2</v>
      </c>
      <c r="D3" s="2702"/>
      <c r="E3" s="2700" t="s">
        <v>3</v>
      </c>
      <c r="F3" s="2700" t="s">
        <v>4</v>
      </c>
    </row>
    <row r="4" ht="16.5" customHeight="1" spans="2:6">
      <c r="B4" s="2703" t="s">
        <v>5</v>
      </c>
      <c r="C4" s="2704" t="s">
        <v>6</v>
      </c>
      <c r="D4" s="2704"/>
      <c r="E4" s="2705" t="str">
        <f>亮度與BLU功耗!E4</f>
        <v>Bent胶框外凸</v>
      </c>
      <c r="F4" s="2706" t="s">
        <v>7</v>
      </c>
    </row>
    <row r="5" ht="14.25" customHeight="1" spans="2:7">
      <c r="B5" s="2703"/>
      <c r="C5" s="2704" t="s">
        <v>8</v>
      </c>
      <c r="D5" s="2704"/>
      <c r="E5" s="2707"/>
      <c r="F5" s="2706" t="s">
        <v>7</v>
      </c>
      <c r="G5" s="2699" t="s">
        <v>9</v>
      </c>
    </row>
    <row r="6" ht="14.25" customHeight="1" spans="2:7">
      <c r="B6" s="2703"/>
      <c r="C6" s="2704" t="s">
        <v>10</v>
      </c>
      <c r="D6" s="2704"/>
      <c r="E6" s="2707"/>
      <c r="F6" s="2706" t="s">
        <v>7</v>
      </c>
      <c r="G6" s="2699" t="s">
        <v>9</v>
      </c>
    </row>
    <row r="7" ht="13.2" spans="2:7">
      <c r="B7" s="2703"/>
      <c r="C7" s="2708" t="s">
        <v>11</v>
      </c>
      <c r="D7" s="2708"/>
      <c r="E7" s="2707"/>
      <c r="F7" s="2706" t="s">
        <v>7</v>
      </c>
      <c r="G7" s="2699" t="s">
        <v>12</v>
      </c>
    </row>
    <row r="8" ht="13.2" spans="2:6">
      <c r="B8" s="2703"/>
      <c r="C8" s="2704" t="s">
        <v>13</v>
      </c>
      <c r="D8" s="2704"/>
      <c r="E8" s="2709" t="str">
        <f>Outline_X_and_Y!D22&amp;"±"&amp;Outline_X_and_Y!D23</f>
        <v>350.07±0.3</v>
      </c>
      <c r="F8" s="2706" t="s">
        <v>14</v>
      </c>
    </row>
    <row r="9" ht="16.5" customHeight="1" spans="2:6">
      <c r="B9" s="2703"/>
      <c r="C9" s="2704" t="s">
        <v>15</v>
      </c>
      <c r="D9" s="2704"/>
      <c r="E9" s="2709" t="str">
        <f>Outline_X_and_Y!L22&amp;"±"&amp;Outline_X_and_Y!L23</f>
        <v>207.75±0.5</v>
      </c>
      <c r="F9" s="2706" t="s">
        <v>14</v>
      </c>
    </row>
    <row r="10" ht="13.2" spans="2:6">
      <c r="B10" s="2703"/>
      <c r="C10" s="2704" t="s">
        <v>16</v>
      </c>
      <c r="D10" s="2704"/>
      <c r="E10" s="2709" t="str">
        <f>Outline_X_and_Y!O22&amp;"±"&amp;Outline_X_and_Y!O23</f>
        <v>±</v>
      </c>
      <c r="F10" s="2706" t="s">
        <v>14</v>
      </c>
    </row>
    <row r="11" ht="13.2" spans="2:6">
      <c r="B11" s="2703"/>
      <c r="C11" s="2708" t="s">
        <v>17</v>
      </c>
      <c r="D11" s="2708"/>
      <c r="E11" s="2710">
        <f>'Thickness &amp; Weight'!C26</f>
        <v>0.6</v>
      </c>
      <c r="F11" s="2706" t="s">
        <v>14</v>
      </c>
    </row>
    <row r="12" ht="13.2" spans="2:6">
      <c r="B12" s="2703"/>
      <c r="C12" s="2708" t="s">
        <v>18</v>
      </c>
      <c r="D12" s="2708"/>
      <c r="E12" s="2710">
        <f>Bent方程式!C135</f>
        <v>80</v>
      </c>
      <c r="F12" s="2706" t="s">
        <v>14</v>
      </c>
    </row>
    <row r="13" ht="13.2" spans="2:6">
      <c r="B13" s="2703"/>
      <c r="C13" s="2708" t="s">
        <v>19</v>
      </c>
      <c r="D13" s="2708"/>
      <c r="E13" s="2710">
        <f>Bent方程式!C136</f>
        <v>60</v>
      </c>
      <c r="F13" s="2706" t="s">
        <v>14</v>
      </c>
    </row>
    <row r="14" ht="13.2" spans="2:6">
      <c r="B14" s="2703"/>
      <c r="C14" s="2704" t="s">
        <v>20</v>
      </c>
      <c r="D14" s="2704" t="s">
        <v>21</v>
      </c>
      <c r="E14" s="2709">
        <f>Outline_X_and_Y!M4</f>
        <v>2.95</v>
      </c>
      <c r="F14" s="2706" t="s">
        <v>14</v>
      </c>
    </row>
    <row r="15" ht="14.25" customHeight="1" spans="2:6">
      <c r="B15" s="2703"/>
      <c r="C15" s="2704"/>
      <c r="D15" s="2704" t="s">
        <v>22</v>
      </c>
      <c r="E15" s="2709">
        <f>Outline_X_and_Y!E4</f>
        <v>3</v>
      </c>
      <c r="F15" s="2706" t="s">
        <v>14</v>
      </c>
    </row>
    <row r="16" ht="13.2" spans="2:6">
      <c r="B16" s="2703"/>
      <c r="C16" s="2704"/>
      <c r="D16" s="2704" t="s">
        <v>23</v>
      </c>
      <c r="E16" s="2709">
        <f>Outline_X_and_Y!E13</f>
        <v>2.85</v>
      </c>
      <c r="F16" s="2706" t="s">
        <v>14</v>
      </c>
    </row>
    <row r="17" ht="13.2" spans="2:6">
      <c r="B17" s="2703"/>
      <c r="C17" s="2704"/>
      <c r="D17" s="2704" t="s">
        <v>24</v>
      </c>
      <c r="E17" s="2709">
        <f>Outline_X_and_Y!M13</f>
        <v>8.5</v>
      </c>
      <c r="F17" s="2706" t="s">
        <v>14</v>
      </c>
    </row>
    <row r="18" ht="13.2" spans="2:6">
      <c r="B18" s="2703"/>
      <c r="C18" s="2704"/>
      <c r="D18" s="2704" t="s">
        <v>25</v>
      </c>
      <c r="E18" s="2709">
        <f>Summary!D23</f>
        <v>8.5</v>
      </c>
      <c r="F18" s="2706" t="s">
        <v>14</v>
      </c>
    </row>
    <row r="19" ht="13.2" spans="2:6">
      <c r="B19" s="2703"/>
      <c r="C19" s="2704" t="s">
        <v>26</v>
      </c>
      <c r="D19" s="2704" t="s">
        <v>21</v>
      </c>
      <c r="E19" s="2709">
        <f>'Cell Tape 貼覆面積'!G6</f>
        <v>1</v>
      </c>
      <c r="F19" s="2706" t="s">
        <v>14</v>
      </c>
    </row>
    <row r="20" ht="13.2" spans="2:6">
      <c r="B20" s="2703"/>
      <c r="C20" s="2704"/>
      <c r="D20" s="2704" t="s">
        <v>22</v>
      </c>
      <c r="E20" s="2709">
        <f>'Cell Tape 貼覆面積'!C6</f>
        <v>1</v>
      </c>
      <c r="F20" s="2706" t="s">
        <v>14</v>
      </c>
    </row>
    <row r="21" ht="13.2" spans="2:6">
      <c r="B21" s="2703"/>
      <c r="C21" s="2704"/>
      <c r="D21" s="2704" t="s">
        <v>23</v>
      </c>
      <c r="E21" s="2709">
        <f>'Cell Tape 貼覆面積'!C12</f>
        <v>1</v>
      </c>
      <c r="F21" s="2706" t="s">
        <v>14</v>
      </c>
    </row>
    <row r="22" ht="13.2" spans="2:6">
      <c r="B22" s="2703"/>
      <c r="C22" s="2704"/>
      <c r="D22" s="2704" t="s">
        <v>27</v>
      </c>
      <c r="E22" s="2709">
        <f>'Cell Tape 貼覆面積'!G12</f>
        <v>1.8</v>
      </c>
      <c r="F22" s="2706" t="s">
        <v>14</v>
      </c>
    </row>
    <row r="23" ht="13.2" spans="2:6">
      <c r="B23" s="2703"/>
      <c r="C23" s="2704" t="s">
        <v>28</v>
      </c>
      <c r="D23" s="2704" t="s">
        <v>21</v>
      </c>
      <c r="E23" s="2709">
        <f>Bent方程式!C81</f>
        <v>1.3</v>
      </c>
      <c r="F23" s="2706" t="s">
        <v>14</v>
      </c>
    </row>
    <row r="24" ht="13.2" spans="2:6">
      <c r="B24" s="2703"/>
      <c r="C24" s="2704"/>
      <c r="D24" s="2704" t="s">
        <v>22</v>
      </c>
      <c r="E24" s="2709">
        <f>Bent方程式!C39</f>
        <v>1.2</v>
      </c>
      <c r="F24" s="2706" t="s">
        <v>14</v>
      </c>
    </row>
    <row r="25" ht="13.2" spans="2:6">
      <c r="B25" s="2703"/>
      <c r="C25" s="2704"/>
      <c r="D25" s="2704" t="s">
        <v>23</v>
      </c>
      <c r="E25" s="2709">
        <f>Bent方程式!C60</f>
        <v>1.2</v>
      </c>
      <c r="F25" s="2706" t="s">
        <v>14</v>
      </c>
    </row>
    <row r="26" ht="13.2" spans="2:6">
      <c r="B26" s="2703"/>
      <c r="C26" s="2704"/>
      <c r="D26" s="2704" t="s">
        <v>27</v>
      </c>
      <c r="E26" s="2709">
        <f>Bent方程式!C104</f>
        <v>1.2</v>
      </c>
      <c r="F26" s="2706" t="s">
        <v>14</v>
      </c>
    </row>
    <row r="27" ht="13.2" spans="2:6">
      <c r="B27" s="2703"/>
      <c r="C27" s="2704" t="s">
        <v>29</v>
      </c>
      <c r="D27" s="2704" t="s">
        <v>30</v>
      </c>
      <c r="E27" s="2709">
        <f>'Thickness &amp; Weight'!C22</f>
        <v>2.378</v>
      </c>
      <c r="F27" s="2706" t="s">
        <v>14</v>
      </c>
    </row>
    <row r="28" ht="13.2" spans="2:6">
      <c r="B28" s="2703"/>
      <c r="C28" s="2704"/>
      <c r="D28" s="2704" t="s">
        <v>31</v>
      </c>
      <c r="E28" s="2709">
        <f>Summary!C11</f>
        <v>2.8</v>
      </c>
      <c r="F28" s="2706" t="s">
        <v>14</v>
      </c>
    </row>
    <row r="29" ht="13.2" spans="2:6">
      <c r="B29" s="2703"/>
      <c r="C29" s="2704" t="s">
        <v>32</v>
      </c>
      <c r="D29" s="2704" t="s">
        <v>30</v>
      </c>
      <c r="E29" s="2709">
        <f>'Thickness &amp; Weight'!L13</f>
        <v>4.163</v>
      </c>
      <c r="F29" s="2706" t="s">
        <v>14</v>
      </c>
    </row>
    <row r="30" ht="13.2" spans="2:6">
      <c r="B30" s="2703"/>
      <c r="C30" s="2704"/>
      <c r="D30" s="2704" t="s">
        <v>31</v>
      </c>
      <c r="E30" s="2711">
        <f>'Thickness &amp; Weight'!L29</f>
        <v>4.5</v>
      </c>
      <c r="F30" s="2706" t="s">
        <v>14</v>
      </c>
    </row>
    <row r="31" ht="14.25" customHeight="1" spans="2:6">
      <c r="B31" s="2703"/>
      <c r="C31" s="2708" t="s">
        <v>33</v>
      </c>
      <c r="D31" s="2708"/>
      <c r="E31" s="2709">
        <f>'Thickness &amp; Weight'!C6</f>
        <v>0.3</v>
      </c>
      <c r="F31" s="2706" t="s">
        <v>14</v>
      </c>
    </row>
    <row r="32" ht="13.2" spans="2:6">
      <c r="B32" s="2703"/>
      <c r="C32" s="2708" t="s">
        <v>34</v>
      </c>
      <c r="D32" s="2708"/>
      <c r="E32" s="2709">
        <f>'Thickness &amp; Weight'!C7</f>
        <v>0.3</v>
      </c>
      <c r="F32" s="2706" t="s">
        <v>14</v>
      </c>
    </row>
    <row r="33" ht="13.2" spans="2:6">
      <c r="B33" s="2703"/>
      <c r="C33" s="2704" t="s">
        <v>35</v>
      </c>
      <c r="D33" s="2704" t="s">
        <v>30</v>
      </c>
      <c r="E33" s="2712">
        <f>'Thickness &amp; Weight'!T25</f>
        <v>285.4153201732</v>
      </c>
      <c r="F33" s="2706" t="s">
        <v>36</v>
      </c>
    </row>
    <row r="34" ht="13.2" spans="2:6">
      <c r="B34" s="2703"/>
      <c r="C34" s="2704"/>
      <c r="D34" s="2704" t="s">
        <v>31</v>
      </c>
      <c r="E34" s="2710">
        <f>Summary!C28</f>
        <v>310</v>
      </c>
      <c r="F34" s="2706" t="s">
        <v>36</v>
      </c>
    </row>
    <row r="35" ht="13.2" spans="2:6">
      <c r="B35" s="2703" t="s">
        <v>37</v>
      </c>
      <c r="C35" s="2704" t="s">
        <v>38</v>
      </c>
      <c r="D35" s="2704" t="s">
        <v>30</v>
      </c>
      <c r="E35" s="2713">
        <f>亮度與BLU功耗!E23</f>
        <v>3.867459365114</v>
      </c>
      <c r="F35" s="2706" t="s">
        <v>39</v>
      </c>
    </row>
    <row r="36" ht="16.5" customHeight="1" spans="2:6">
      <c r="B36" s="2703"/>
      <c r="C36" s="2704"/>
      <c r="D36" s="2704" t="s">
        <v>31</v>
      </c>
      <c r="E36" s="2707">
        <f>IF(Summary!C35="","",Summary!C35)</f>
        <v>3.62</v>
      </c>
      <c r="F36" s="2706" t="s">
        <v>39</v>
      </c>
    </row>
    <row r="37" ht="13.2" spans="2:6">
      <c r="B37" s="2703"/>
      <c r="C37" s="2704" t="s">
        <v>40</v>
      </c>
      <c r="D37" s="2704"/>
      <c r="E37" s="2709" t="str">
        <f>Summary!C34</f>
        <v>sRGB100%</v>
      </c>
      <c r="F37" s="2706" t="s">
        <v>7</v>
      </c>
    </row>
    <row r="38" ht="13.2" spans="2:6">
      <c r="B38" s="2703"/>
      <c r="C38" s="2708" t="s">
        <v>41</v>
      </c>
      <c r="D38" s="2708"/>
      <c r="E38" s="2710" t="str">
        <f>亮度與BLU功耗!E11</f>
        <v>有(1个Driver IC)</v>
      </c>
      <c r="F38" s="2706" t="s">
        <v>7</v>
      </c>
    </row>
    <row r="39" ht="13.2" spans="2:6">
      <c r="B39" s="2703"/>
      <c r="C39" s="2714" t="s">
        <v>42</v>
      </c>
      <c r="D39" s="2715" t="s">
        <v>30</v>
      </c>
      <c r="E39" s="2716">
        <f>IF(Summary!C33="","",Summary!C33)</f>
        <v>300</v>
      </c>
      <c r="F39" s="2706" t="s">
        <v>43</v>
      </c>
    </row>
    <row r="40" ht="13.2" spans="2:6">
      <c r="B40" s="2703"/>
      <c r="C40" s="2714"/>
      <c r="D40" s="2715" t="s">
        <v>44</v>
      </c>
      <c r="E40" s="2716"/>
      <c r="F40" s="2706" t="s">
        <v>43</v>
      </c>
    </row>
    <row r="41" ht="13.2" spans="2:7">
      <c r="B41" s="2703"/>
      <c r="C41" s="2715" t="s">
        <v>45</v>
      </c>
      <c r="D41" s="2715"/>
      <c r="E41" s="2707"/>
      <c r="F41" s="2706" t="s">
        <v>7</v>
      </c>
      <c r="G41" s="2699" t="s">
        <v>46</v>
      </c>
    </row>
    <row r="42" ht="14.4" spans="2:7">
      <c r="B42" s="2703"/>
      <c r="C42" s="2715" t="s">
        <v>47</v>
      </c>
      <c r="D42" s="2715"/>
      <c r="E42" s="2716"/>
      <c r="F42" s="2706" t="s">
        <v>7</v>
      </c>
      <c r="G42" s="2717" t="s">
        <v>48</v>
      </c>
    </row>
    <row r="43" ht="13.2" spans="2:7">
      <c r="B43" s="2703"/>
      <c r="C43" s="2714" t="s">
        <v>49</v>
      </c>
      <c r="D43" s="2714" t="s">
        <v>50</v>
      </c>
      <c r="E43" s="2716"/>
      <c r="F43" s="2706" t="s">
        <v>7</v>
      </c>
      <c r="G43" s="2699" t="s">
        <v>51</v>
      </c>
    </row>
    <row r="44" ht="13.2" spans="2:7">
      <c r="B44" s="2703"/>
      <c r="C44" s="2714"/>
      <c r="D44" s="2714" t="s">
        <v>52</v>
      </c>
      <c r="E44" s="2716"/>
      <c r="F44" s="2706" t="s">
        <v>7</v>
      </c>
      <c r="G44" s="2699" t="s">
        <v>53</v>
      </c>
    </row>
    <row r="45" ht="13.2" spans="2:7">
      <c r="B45" s="2703"/>
      <c r="C45" s="2714" t="s">
        <v>54</v>
      </c>
      <c r="D45" s="2714" t="s">
        <v>55</v>
      </c>
      <c r="E45" s="2716"/>
      <c r="F45" s="2706" t="s">
        <v>7</v>
      </c>
      <c r="G45" s="2699" t="s">
        <v>56</v>
      </c>
    </row>
    <row r="46" ht="13.2" spans="2:7">
      <c r="B46" s="2703"/>
      <c r="C46" s="2714"/>
      <c r="D46" s="2714" t="s">
        <v>57</v>
      </c>
      <c r="E46" s="2718"/>
      <c r="F46" s="2706" t="s">
        <v>7</v>
      </c>
      <c r="G46" s="2699" t="s">
        <v>58</v>
      </c>
    </row>
    <row r="47" ht="13.2" spans="2:7">
      <c r="B47" s="2703"/>
      <c r="C47" s="2714" t="s">
        <v>59</v>
      </c>
      <c r="D47" s="2714"/>
      <c r="E47" s="2707"/>
      <c r="F47" s="2706" t="s">
        <v>7</v>
      </c>
      <c r="G47" s="2699" t="s">
        <v>60</v>
      </c>
    </row>
    <row r="48" ht="13.2" spans="2:6">
      <c r="B48" s="2703" t="s">
        <v>61</v>
      </c>
      <c r="C48" s="2714" t="s">
        <v>62</v>
      </c>
      <c r="D48" s="2714" t="s">
        <v>63</v>
      </c>
      <c r="E48" s="2712">
        <f>IF(亮度與BLU功耗!E49="-",亮度與BLU功耗!E48,亮度與BLU功耗!E49)</f>
        <v>5760.75676537409</v>
      </c>
      <c r="F48" s="2706" t="s">
        <v>43</v>
      </c>
    </row>
    <row r="49" ht="13.2" spans="2:6">
      <c r="B49" s="2703"/>
      <c r="C49" s="2714"/>
      <c r="D49" s="2714" t="s">
        <v>64</v>
      </c>
      <c r="E49" s="2712">
        <f>E48*0.9</f>
        <v>5184.68108883669</v>
      </c>
      <c r="F49" s="2706" t="s">
        <v>43</v>
      </c>
    </row>
    <row r="50" ht="13.2" spans="2:6">
      <c r="B50" s="2703"/>
      <c r="C50" s="2715" t="s">
        <v>65</v>
      </c>
      <c r="D50" s="2715" t="s">
        <v>66</v>
      </c>
      <c r="E50" s="2709">
        <f>VLOOKUP(亮度與BLU功耗!E10,LED選型!B3:AF67,30,0)</f>
        <v>0</v>
      </c>
      <c r="F50" s="2706" t="s">
        <v>7</v>
      </c>
    </row>
    <row r="51" ht="26.4" spans="2:6">
      <c r="B51" s="2703"/>
      <c r="C51" s="2715"/>
      <c r="D51" s="2715" t="s">
        <v>67</v>
      </c>
      <c r="E51" s="2709" t="str">
        <f>VLOOKUP(亮度與BLU功耗!E10,LED選型!B3:M67,11,FALSE)</f>
        <v>3006(YAG)-無Zener</v>
      </c>
      <c r="F51" s="2706"/>
    </row>
    <row r="52" ht="13.2" spans="2:6">
      <c r="B52" s="2703"/>
      <c r="C52" s="2715"/>
      <c r="D52" s="2715" t="s">
        <v>68</v>
      </c>
      <c r="E52" s="2709">
        <f>亮度與BLU功耗!E14</f>
        <v>55</v>
      </c>
      <c r="F52" s="2706" t="s">
        <v>7</v>
      </c>
    </row>
    <row r="53" ht="13.2" spans="2:6">
      <c r="B53" s="2703"/>
      <c r="C53" s="2715"/>
      <c r="D53" s="2715" t="s">
        <v>69</v>
      </c>
      <c r="E53" s="2709">
        <f>亮度與BLU功耗!E19</f>
        <v>12</v>
      </c>
      <c r="F53" s="2706" t="s">
        <v>7</v>
      </c>
    </row>
    <row r="54" ht="13.2" spans="2:6">
      <c r="B54" s="2703"/>
      <c r="C54" s="2715"/>
      <c r="D54" s="2715" t="s">
        <v>70</v>
      </c>
      <c r="E54" s="2709">
        <f>亮度與BLU功耗!E20</f>
        <v>8.75</v>
      </c>
      <c r="F54" s="2706" t="s">
        <v>7</v>
      </c>
    </row>
    <row r="55" ht="13.2" spans="2:6">
      <c r="B55" s="2703"/>
      <c r="C55" s="2715"/>
      <c r="D55" s="2715" t="s">
        <v>71</v>
      </c>
      <c r="E55" s="2709">
        <f>亮度與BLU功耗!E21</f>
        <v>22</v>
      </c>
      <c r="F55" s="2706" t="s">
        <v>72</v>
      </c>
    </row>
    <row r="56" ht="13.2" spans="2:6">
      <c r="B56" s="2703"/>
      <c r="C56" s="2715"/>
      <c r="D56" s="2715" t="s">
        <v>73</v>
      </c>
      <c r="E56" s="2709">
        <f>亮度與BLU功耗!E22</f>
        <v>2.93</v>
      </c>
      <c r="F56" s="2706" t="s">
        <v>74</v>
      </c>
    </row>
    <row r="57" ht="39.6" spans="2:7">
      <c r="B57" s="2703"/>
      <c r="C57" s="2708" t="s">
        <v>75</v>
      </c>
      <c r="D57" s="2704" t="s">
        <v>76</v>
      </c>
      <c r="E57" s="2716"/>
      <c r="F57" s="2706" t="s">
        <v>7</v>
      </c>
      <c r="G57" s="2699" t="s">
        <v>77</v>
      </c>
    </row>
    <row r="58" ht="13.2" spans="2:6">
      <c r="B58" s="2703"/>
      <c r="C58" s="2708"/>
      <c r="D58" s="2704" t="s">
        <v>78</v>
      </c>
      <c r="E58" s="2709" t="str">
        <f>'Thickness &amp; Weight'!W18</f>
        <v>DA01-H38</v>
      </c>
      <c r="F58" s="2706" t="s">
        <v>7</v>
      </c>
    </row>
    <row r="59" ht="26.4" spans="2:6">
      <c r="B59" s="2703"/>
      <c r="C59" s="2708"/>
      <c r="D59" s="2704" t="s">
        <v>79</v>
      </c>
      <c r="E59" s="2709">
        <f>'Thickness &amp; Weight'!C17</f>
        <v>0.25</v>
      </c>
      <c r="F59" s="2706" t="s">
        <v>14</v>
      </c>
    </row>
    <row r="60" ht="13.2" spans="2:6">
      <c r="B60" s="2703"/>
      <c r="C60" s="2708"/>
      <c r="D60" s="2708" t="s">
        <v>80</v>
      </c>
      <c r="E60" s="2709" t="str">
        <f>IF('Thickness &amp; Weight'!V19=0,"是","否")</f>
        <v>否</v>
      </c>
      <c r="F60" s="2706" t="s">
        <v>7</v>
      </c>
    </row>
    <row r="61" ht="13.2" spans="2:6">
      <c r="B61" s="2703"/>
      <c r="C61" s="2708"/>
      <c r="D61" s="2708" t="s">
        <v>81</v>
      </c>
      <c r="E61" s="2709" t="str">
        <f>IF(Outline_X_and_Y!L5='Thickness &amp; Weight'!C17,"单折","双折")</f>
        <v>单折</v>
      </c>
      <c r="F61" s="2706" t="s">
        <v>7</v>
      </c>
    </row>
    <row r="62" ht="13.2" spans="2:6">
      <c r="B62" s="2703"/>
      <c r="C62" s="2708"/>
      <c r="D62" s="2708" t="s">
        <v>82</v>
      </c>
      <c r="E62" s="2709" t="str">
        <f>IF(Outline_X_and_Y!D5='Thickness &amp; Weight'!C17,"单折","双折")</f>
        <v>单折</v>
      </c>
      <c r="F62" s="2706" t="s">
        <v>7</v>
      </c>
    </row>
    <row r="63" ht="13.2" spans="2:6">
      <c r="B63" s="2703"/>
      <c r="C63" s="2708"/>
      <c r="D63" s="2708" t="s">
        <v>83</v>
      </c>
      <c r="E63" s="2709" t="str">
        <f>IF(Outline_X_and_Y!D18='Thickness &amp; Weight'!C17,"单折","双折")</f>
        <v>双折</v>
      </c>
      <c r="F63" s="2706" t="s">
        <v>7</v>
      </c>
    </row>
    <row r="64" ht="13.2" spans="2:6">
      <c r="B64" s="2703"/>
      <c r="C64" s="2708"/>
      <c r="D64" s="2708" t="s">
        <v>84</v>
      </c>
      <c r="E64" s="2709" t="str">
        <f>IF(Outline_X_and_Y!L17='Thickness &amp; Weight'!C17,"单折","双折")</f>
        <v>单折</v>
      </c>
      <c r="F64" s="2706" t="s">
        <v>7</v>
      </c>
    </row>
    <row r="65" ht="26.4" spans="2:7">
      <c r="B65" s="2703"/>
      <c r="C65" s="2704" t="s">
        <v>85</v>
      </c>
      <c r="D65" s="2704" t="s">
        <v>86</v>
      </c>
      <c r="E65" s="2716"/>
      <c r="F65" s="2706" t="s">
        <v>7</v>
      </c>
      <c r="G65" s="2699" t="s">
        <v>77</v>
      </c>
    </row>
    <row r="66" ht="13.2" spans="2:6">
      <c r="B66" s="2703"/>
      <c r="C66" s="2704"/>
      <c r="D66" s="2704" t="s">
        <v>87</v>
      </c>
      <c r="E66" s="2709" t="str">
        <f>亮度與BLU功耗!F34</f>
        <v>热压PMMA</v>
      </c>
      <c r="F66" s="2706" t="s">
        <v>7</v>
      </c>
    </row>
    <row r="67" ht="13.2" spans="2:6">
      <c r="B67" s="2703"/>
      <c r="C67" s="2704"/>
      <c r="D67" s="2704" t="s">
        <v>88</v>
      </c>
      <c r="E67" s="2709" t="str">
        <f>亮度與BLU功耗!E33</f>
        <v>V-CUT</v>
      </c>
      <c r="F67" s="2706" t="s">
        <v>7</v>
      </c>
    </row>
    <row r="68" ht="26.4" spans="2:6">
      <c r="B68" s="2703"/>
      <c r="C68" s="2704"/>
      <c r="D68" s="2715" t="s">
        <v>89</v>
      </c>
      <c r="E68" s="2709">
        <f>亮度與BLU功耗!E34</f>
        <v>0.5</v>
      </c>
      <c r="F68" s="2706" t="s">
        <v>14</v>
      </c>
    </row>
    <row r="69" ht="39.6" spans="2:7">
      <c r="B69" s="2703"/>
      <c r="C69" s="2719" t="s">
        <v>90</v>
      </c>
      <c r="D69" s="2715" t="s">
        <v>76</v>
      </c>
      <c r="E69" s="2716"/>
      <c r="F69" s="2706" t="s">
        <v>7</v>
      </c>
      <c r="G69" s="2699" t="s">
        <v>77</v>
      </c>
    </row>
    <row r="70" ht="13.2" spans="2:6">
      <c r="B70" s="2703"/>
      <c r="C70" s="2720"/>
      <c r="D70" s="2715" t="s">
        <v>91</v>
      </c>
      <c r="E70" s="2716" t="s">
        <v>92</v>
      </c>
      <c r="F70" s="2706" t="s">
        <v>7</v>
      </c>
    </row>
    <row r="71" ht="13.2" spans="2:6">
      <c r="B71" s="2703"/>
      <c r="C71" s="2721"/>
      <c r="D71" s="2715" t="s">
        <v>93</v>
      </c>
      <c r="E71" s="2709" t="str">
        <f>VLOOKUP(亮度與BLU功耗!E35,亮度與BLU功耗!S49:V51,4)</f>
        <v>白</v>
      </c>
      <c r="F71" s="2706"/>
    </row>
    <row r="72" ht="13.2" spans="2:6">
      <c r="B72" s="2703"/>
      <c r="C72" s="2704" t="s">
        <v>94</v>
      </c>
      <c r="D72" s="2715" t="s">
        <v>95</v>
      </c>
      <c r="E72" s="2709" t="str">
        <f>VLOOKUP(E73,'U-Diff.選型'!B3:L13,11,0)</f>
        <v>SKC</v>
      </c>
      <c r="F72" s="2706" t="s">
        <v>7</v>
      </c>
    </row>
    <row r="73" ht="13.2" spans="2:6">
      <c r="B73" s="2703"/>
      <c r="C73" s="2704"/>
      <c r="D73" s="2704" t="s">
        <v>91</v>
      </c>
      <c r="E73" s="2709" t="str">
        <f>IF(亮度與BLU功耗!E27="","",亮度與BLU功耗!E27)</f>
        <v>JS960HK</v>
      </c>
      <c r="F73" s="2706" t="s">
        <v>7</v>
      </c>
    </row>
    <row r="74" ht="13.2" spans="2:6">
      <c r="B74" s="2703"/>
      <c r="C74" s="2704"/>
      <c r="D74" s="2704" t="s">
        <v>96</v>
      </c>
      <c r="E74" s="2709">
        <f>'Thickness &amp; Weight'!C10</f>
        <v>0.115</v>
      </c>
      <c r="F74" s="2706"/>
    </row>
    <row r="75" ht="13.2" spans="2:6">
      <c r="B75" s="2703"/>
      <c r="C75" s="2704"/>
      <c r="D75" s="2704" t="s">
        <v>97</v>
      </c>
      <c r="E75" s="2716" t="s">
        <v>12</v>
      </c>
      <c r="F75" s="2706" t="s">
        <v>7</v>
      </c>
    </row>
    <row r="76" ht="16.5" customHeight="1" spans="2:6">
      <c r="B76" s="2703"/>
      <c r="C76" s="2708" t="s">
        <v>98</v>
      </c>
      <c r="D76" s="2704" t="s">
        <v>95</v>
      </c>
      <c r="E76" s="2709">
        <f>VLOOKUP(亮度與BLU功耗!E29,棱鏡片選型!C3:S40,16,0)</f>
        <v>0.152</v>
      </c>
      <c r="F76" s="2706" t="s">
        <v>7</v>
      </c>
    </row>
    <row r="77" ht="39.6" spans="2:6">
      <c r="B77" s="2703"/>
      <c r="C77" s="2708"/>
      <c r="D77" s="2704" t="s">
        <v>91</v>
      </c>
      <c r="E77" s="2709" t="str">
        <f>'BOM List格式（附件上传）'!G152</f>
        <v>Ubright HLS505-03 0.157t</v>
      </c>
      <c r="F77" s="2706" t="s">
        <v>7</v>
      </c>
    </row>
    <row r="78" ht="13.2" spans="2:6">
      <c r="B78" s="2703"/>
      <c r="C78" s="2708"/>
      <c r="D78" s="2704" t="s">
        <v>96</v>
      </c>
      <c r="E78" s="2709">
        <f>'Thickness &amp; Weight'!C11</f>
        <v>0.157</v>
      </c>
      <c r="F78" s="2706"/>
    </row>
    <row r="79" ht="13.2" spans="2:6">
      <c r="B79" s="2703"/>
      <c r="C79" s="2708"/>
      <c r="D79" s="2708" t="s">
        <v>99</v>
      </c>
      <c r="E79" s="2716"/>
      <c r="F79" s="2706"/>
    </row>
    <row r="80" ht="13.2" spans="2:6">
      <c r="B80" s="2703"/>
      <c r="C80" s="2704" t="s">
        <v>100</v>
      </c>
      <c r="D80" s="2704" t="s">
        <v>95</v>
      </c>
      <c r="E80" s="2709">
        <f>VLOOKUP(亮度與BLU功耗!E29,棱鏡片選型!C3:S40,16,0)</f>
        <v>0.152</v>
      </c>
      <c r="F80" s="2706" t="s">
        <v>7</v>
      </c>
    </row>
    <row r="81" ht="26.4" spans="2:6">
      <c r="B81" s="2703"/>
      <c r="C81" s="2704"/>
      <c r="D81" s="2704" t="s">
        <v>91</v>
      </c>
      <c r="E81" s="2709" t="str">
        <f>'BOM List格式（附件上传）'!G153</f>
        <v>Ubright HS505E 0.152t</v>
      </c>
      <c r="F81" s="2706" t="s">
        <v>7</v>
      </c>
    </row>
    <row r="82" ht="13.2" spans="2:6">
      <c r="B82" s="2703"/>
      <c r="C82" s="2704"/>
      <c r="D82" s="2704" t="s">
        <v>96</v>
      </c>
      <c r="E82" s="2709">
        <f>'Thickness &amp; Weight'!C12</f>
        <v>0.152</v>
      </c>
      <c r="F82" s="2706"/>
    </row>
    <row r="83" ht="13.2" spans="2:6">
      <c r="B83" s="2703"/>
      <c r="C83" s="2704"/>
      <c r="D83" s="2708" t="s">
        <v>99</v>
      </c>
      <c r="E83" s="2716"/>
      <c r="F83" s="2706"/>
    </row>
    <row r="84" ht="13.2" spans="2:6">
      <c r="B84" s="2703"/>
      <c r="C84" s="2708" t="s">
        <v>101</v>
      </c>
      <c r="D84" s="2704" t="s">
        <v>95</v>
      </c>
      <c r="E84" s="2709" t="str">
        <f>VLOOKUP(E85,'D-Diff.選型'!B2:J18,9,0)</f>
        <v>乐凯</v>
      </c>
      <c r="F84" s="2706" t="s">
        <v>7</v>
      </c>
    </row>
    <row r="85" ht="13.2" spans="2:6">
      <c r="B85" s="2703"/>
      <c r="C85" s="2708"/>
      <c r="D85" s="2704" t="s">
        <v>91</v>
      </c>
      <c r="E85" s="2709" t="str">
        <f>亮度與BLU功耗!E31</f>
        <v>CDH743X</v>
      </c>
      <c r="F85" s="2706" t="s">
        <v>7</v>
      </c>
    </row>
    <row r="86" ht="13.2" spans="2:6">
      <c r="B86" s="2703"/>
      <c r="C86" s="2708"/>
      <c r="D86" s="2704" t="s">
        <v>96</v>
      </c>
      <c r="E86" s="2709">
        <f>'Thickness &amp; Weight'!C13</f>
        <v>0.058</v>
      </c>
      <c r="F86" s="2706"/>
    </row>
    <row r="87" ht="13.2" spans="2:6">
      <c r="B87" s="2703"/>
      <c r="C87" s="2708"/>
      <c r="D87" s="2704" t="s">
        <v>97</v>
      </c>
      <c r="E87" s="2716" t="s">
        <v>12</v>
      </c>
      <c r="F87" s="2706" t="s">
        <v>7</v>
      </c>
    </row>
    <row r="88" ht="13.2" spans="2:6">
      <c r="B88" s="2703"/>
      <c r="C88" s="2704" t="s">
        <v>102</v>
      </c>
      <c r="D88" s="2704" t="s">
        <v>95</v>
      </c>
      <c r="E88" s="2709" t="str">
        <f>VLOOKUP(E89,Ref.選型!B2:J18,9,0)</f>
        <v>兰埔成</v>
      </c>
      <c r="F88" s="2706" t="s">
        <v>7</v>
      </c>
    </row>
    <row r="89" ht="13.2" spans="2:6">
      <c r="B89" s="2703"/>
      <c r="C89" s="2704"/>
      <c r="D89" s="2704" t="s">
        <v>91</v>
      </c>
      <c r="E89" s="2709" t="str">
        <f>亮度與BLU功耗!E32</f>
        <v>RF150UC10E</v>
      </c>
      <c r="F89" s="2706" t="s">
        <v>7</v>
      </c>
    </row>
    <row r="90" ht="13.2" spans="2:6">
      <c r="B90" s="2703"/>
      <c r="C90" s="2704"/>
      <c r="D90" s="2704" t="s">
        <v>96</v>
      </c>
      <c r="E90" s="2709">
        <f>'Thickness &amp; Weight'!C15</f>
        <v>0.16</v>
      </c>
      <c r="F90" s="2706"/>
    </row>
    <row r="91" ht="13.2" spans="2:7">
      <c r="B91" s="2703"/>
      <c r="C91" s="2708" t="s">
        <v>103</v>
      </c>
      <c r="D91" s="2704" t="s">
        <v>95</v>
      </c>
      <c r="E91" s="2716"/>
      <c r="F91" s="2706" t="s">
        <v>7</v>
      </c>
      <c r="G91" s="2699" t="s">
        <v>104</v>
      </c>
    </row>
    <row r="92" ht="13.2" spans="2:7">
      <c r="B92" s="2703"/>
      <c r="C92" s="2708"/>
      <c r="D92" s="2704" t="s">
        <v>91</v>
      </c>
      <c r="E92" s="2716"/>
      <c r="F92" s="2706" t="s">
        <v>7</v>
      </c>
      <c r="G92" s="2699" t="s">
        <v>104</v>
      </c>
    </row>
    <row r="93" ht="13.2" spans="2:7">
      <c r="B93" s="2703"/>
      <c r="C93" s="2708"/>
      <c r="D93" s="2704" t="s">
        <v>105</v>
      </c>
      <c r="E93" s="2716"/>
      <c r="F93" s="2706"/>
      <c r="G93" s="2699" t="s">
        <v>104</v>
      </c>
    </row>
    <row r="94" ht="13.2" spans="2:7">
      <c r="B94" s="2703"/>
      <c r="C94" s="2704" t="s">
        <v>106</v>
      </c>
      <c r="D94" s="2704" t="s">
        <v>95</v>
      </c>
      <c r="E94" s="2716"/>
      <c r="F94" s="2706" t="s">
        <v>7</v>
      </c>
      <c r="G94" s="2699" t="s">
        <v>104</v>
      </c>
    </row>
    <row r="95" ht="13.2" spans="2:7">
      <c r="B95" s="2703"/>
      <c r="C95" s="2704"/>
      <c r="D95" s="2704" t="s">
        <v>91</v>
      </c>
      <c r="E95" s="2716"/>
      <c r="F95" s="2706" t="s">
        <v>7</v>
      </c>
      <c r="G95" s="2699" t="s">
        <v>104</v>
      </c>
    </row>
    <row r="96" ht="13.2" spans="2:7">
      <c r="B96" s="2703"/>
      <c r="C96" s="2704"/>
      <c r="D96" s="2704" t="s">
        <v>96</v>
      </c>
      <c r="E96" s="2716"/>
      <c r="F96" s="2706"/>
      <c r="G96" s="2699" t="s">
        <v>104</v>
      </c>
    </row>
    <row r="97" ht="13.2" spans="2:6">
      <c r="B97" s="2703"/>
      <c r="C97" s="2708" t="s">
        <v>107</v>
      </c>
      <c r="D97" s="2704" t="s">
        <v>95</v>
      </c>
      <c r="E97" s="2709" t="s">
        <v>7</v>
      </c>
      <c r="F97" s="2706" t="s">
        <v>7</v>
      </c>
    </row>
    <row r="98" ht="13.2" spans="2:6">
      <c r="B98" s="2703"/>
      <c r="C98" s="2708"/>
      <c r="D98" s="2704" t="s">
        <v>91</v>
      </c>
      <c r="E98" s="2709" t="str">
        <f>'Cell Tape 貼覆面積'!G10</f>
        <v>双铝 </v>
      </c>
      <c r="F98" s="2706" t="s">
        <v>7</v>
      </c>
    </row>
    <row r="99" ht="13.2" spans="2:6">
      <c r="B99" s="2703"/>
      <c r="C99" s="2708"/>
      <c r="D99" s="2704" t="s">
        <v>96</v>
      </c>
      <c r="E99" s="2709" t="s">
        <v>7</v>
      </c>
      <c r="F99" s="2706"/>
    </row>
    <row r="100" ht="13.2" spans="2:6">
      <c r="B100" s="2703"/>
      <c r="C100" s="2704" t="s">
        <v>108</v>
      </c>
      <c r="D100" s="2704" t="s">
        <v>95</v>
      </c>
      <c r="E100" s="2709" t="s">
        <v>7</v>
      </c>
      <c r="F100" s="2706" t="s">
        <v>7</v>
      </c>
    </row>
    <row r="101" ht="13.2" spans="2:6">
      <c r="B101" s="2703"/>
      <c r="C101" s="2704"/>
      <c r="D101" s="2704" t="s">
        <v>91</v>
      </c>
      <c r="E101" s="2709" t="str">
        <f>'Cell Tape 貼覆面積'!C10</f>
        <v>双铝 </v>
      </c>
      <c r="F101" s="2706" t="s">
        <v>7</v>
      </c>
    </row>
    <row r="102" ht="13.2" spans="2:6">
      <c r="B102" s="2703"/>
      <c r="C102" s="2704"/>
      <c r="D102" s="2704" t="s">
        <v>96</v>
      </c>
      <c r="E102" s="2709" t="s">
        <v>7</v>
      </c>
      <c r="F102" s="2706"/>
    </row>
    <row r="103" ht="13.2" spans="2:6">
      <c r="B103" s="2703"/>
      <c r="C103" s="2708" t="s">
        <v>109</v>
      </c>
      <c r="D103" s="2704" t="s">
        <v>95</v>
      </c>
      <c r="E103" s="2709" t="s">
        <v>7</v>
      </c>
      <c r="F103" s="2706" t="s">
        <v>7</v>
      </c>
    </row>
    <row r="104" ht="13.2" spans="2:6">
      <c r="B104" s="2703"/>
      <c r="C104" s="2708"/>
      <c r="D104" s="2704" t="s">
        <v>91</v>
      </c>
      <c r="E104" s="2709" t="str">
        <f>'Cell Tape 貼覆面積'!C16</f>
        <v>双铝 </v>
      </c>
      <c r="F104" s="2706" t="s">
        <v>7</v>
      </c>
    </row>
    <row r="105" ht="13.2" spans="2:6">
      <c r="B105" s="2703"/>
      <c r="C105" s="2708"/>
      <c r="D105" s="2704" t="s">
        <v>96</v>
      </c>
      <c r="E105" s="2709" t="s">
        <v>7</v>
      </c>
      <c r="F105" s="2706"/>
    </row>
    <row r="106" ht="13.2" spans="2:6">
      <c r="B106" s="2703"/>
      <c r="C106" s="2708" t="s">
        <v>110</v>
      </c>
      <c r="D106" s="2704" t="s">
        <v>95</v>
      </c>
      <c r="E106" s="2709" t="s">
        <v>7</v>
      </c>
      <c r="F106" s="2706" t="s">
        <v>7</v>
      </c>
    </row>
    <row r="107" ht="13.2" spans="2:6">
      <c r="B107" s="2703"/>
      <c r="C107" s="2708"/>
      <c r="D107" s="2704" t="s">
        <v>91</v>
      </c>
      <c r="E107" s="2709" t="str">
        <f>'Cell Tape 貼覆面積'!G16</f>
        <v>双铝 </v>
      </c>
      <c r="F107" s="2706" t="s">
        <v>7</v>
      </c>
    </row>
    <row r="108" ht="13.2" spans="2:6">
      <c r="B108" s="2722"/>
      <c r="C108" s="2723"/>
      <c r="D108" s="2724" t="s">
        <v>96</v>
      </c>
      <c r="E108" s="2709" t="s">
        <v>7</v>
      </c>
      <c r="F108" s="2706"/>
    </row>
    <row r="109" ht="13.2" spans="1:6">
      <c r="A109" s="2725"/>
      <c r="D109" s="2704" t="s">
        <v>111</v>
      </c>
      <c r="E109" s="2716"/>
      <c r="F109" s="2706" t="s">
        <v>7</v>
      </c>
    </row>
    <row r="110" ht="13.2" spans="1:6">
      <c r="A110" s="2725"/>
      <c r="D110" s="2704" t="s">
        <v>112</v>
      </c>
      <c r="E110" s="2716"/>
      <c r="F110" s="2706" t="s">
        <v>7</v>
      </c>
    </row>
    <row r="111" ht="13.2" spans="1:6">
      <c r="A111" s="2726"/>
      <c r="D111" s="2703" t="s">
        <v>113</v>
      </c>
      <c r="E111" s="2716" t="s">
        <v>7</v>
      </c>
      <c r="F111" s="2706" t="s">
        <v>7</v>
      </c>
    </row>
  </sheetData>
  <mergeCells count="48">
    <mergeCell ref="B2:F2"/>
    <mergeCell ref="C3:D3"/>
    <mergeCell ref="C4:D4"/>
    <mergeCell ref="C5:D5"/>
    <mergeCell ref="C6:D6"/>
    <mergeCell ref="C7:D7"/>
    <mergeCell ref="C8:D8"/>
    <mergeCell ref="C9:D9"/>
    <mergeCell ref="C10:D10"/>
    <mergeCell ref="C11:D11"/>
    <mergeCell ref="C12:D12"/>
    <mergeCell ref="C13:D13"/>
    <mergeCell ref="C31:D31"/>
    <mergeCell ref="C32:D32"/>
    <mergeCell ref="C37:D37"/>
    <mergeCell ref="C38:D38"/>
    <mergeCell ref="C41:D41"/>
    <mergeCell ref="C42:D42"/>
    <mergeCell ref="C47:D47"/>
    <mergeCell ref="B4:B34"/>
    <mergeCell ref="B35:B47"/>
    <mergeCell ref="B48:B108"/>
    <mergeCell ref="C14:C18"/>
    <mergeCell ref="C19:C22"/>
    <mergeCell ref="C23:C26"/>
    <mergeCell ref="C27:C28"/>
    <mergeCell ref="C29:C30"/>
    <mergeCell ref="C33:C34"/>
    <mergeCell ref="C35:C36"/>
    <mergeCell ref="C39:C40"/>
    <mergeCell ref="C43:C44"/>
    <mergeCell ref="C45:C46"/>
    <mergeCell ref="C48:C49"/>
    <mergeCell ref="C50:C56"/>
    <mergeCell ref="C57:C64"/>
    <mergeCell ref="C65:C68"/>
    <mergeCell ref="C69:C71"/>
    <mergeCell ref="C72:C75"/>
    <mergeCell ref="C76:C79"/>
    <mergeCell ref="C80:C83"/>
    <mergeCell ref="C84:C87"/>
    <mergeCell ref="C88:C90"/>
    <mergeCell ref="C91:C93"/>
    <mergeCell ref="C94:C96"/>
    <mergeCell ref="C97:C99"/>
    <mergeCell ref="C100:C102"/>
    <mergeCell ref="C103:C105"/>
    <mergeCell ref="C106:C108"/>
  </mergeCells>
  <hyperlinks>
    <hyperlink ref="G42" r:id="rId1" display="***@150nit/**@60nit"/>
  </hyperlinks>
  <pageMargins left="0.75" right="0.75" top="1" bottom="1" header="0.5" footer="0.5"/>
  <pageSetup paperSize="9" orientation="portrait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7">
    <tabColor rgb="FFFFFF00"/>
  </sheetPr>
  <dimension ref="B2:P57"/>
  <sheetViews>
    <sheetView zoomScale="85" zoomScaleNormal="85" workbookViewId="0">
      <selection activeCell="D22" sqref="D22"/>
    </sheetView>
  </sheetViews>
  <sheetFormatPr defaultColWidth="9" defaultRowHeight="14.4"/>
  <cols>
    <col min="1" max="1" width="5" customWidth="1"/>
    <col min="2" max="2" width="28" customWidth="1"/>
    <col min="3" max="3" width="15.8888888888889" customWidth="1"/>
    <col min="4" max="4" width="18.6666666666667" customWidth="1"/>
    <col min="5" max="5" width="5.66666666666667" customWidth="1"/>
    <col min="6" max="6" width="22.3333333333333" customWidth="1"/>
    <col min="7" max="7" width="14.1111111111111" customWidth="1"/>
    <col min="8" max="8" width="18.7777777777778" customWidth="1"/>
    <col min="10" max="10" width="21.4444444444444" customWidth="1"/>
    <col min="14" max="14" width="27.6666666666667" customWidth="1"/>
    <col min="15" max="15" width="29" customWidth="1"/>
  </cols>
  <sheetData>
    <row r="2" spans="2:2">
      <c r="B2" s="1821" t="s">
        <v>651</v>
      </c>
    </row>
    <row r="3" spans="2:8">
      <c r="B3" s="1822" t="s">
        <v>1209</v>
      </c>
      <c r="C3" s="1823"/>
      <c r="D3" s="1007" t="s">
        <v>113</v>
      </c>
      <c r="F3" s="1822" t="s">
        <v>1210</v>
      </c>
      <c r="G3" s="1823"/>
      <c r="H3" s="1007" t="s">
        <v>113</v>
      </c>
    </row>
    <row r="4" spans="2:12">
      <c r="B4" s="1824" t="s">
        <v>123</v>
      </c>
      <c r="C4" s="1825">
        <f>Outline_X_and_Y!D11</f>
        <v>344.22</v>
      </c>
      <c r="D4" s="1826"/>
      <c r="F4" s="1824" t="s">
        <v>125</v>
      </c>
      <c r="G4" s="1825">
        <f>Outline_X_and_Y!L11</f>
        <v>196.3</v>
      </c>
      <c r="H4" s="1826"/>
      <c r="J4" s="1668" t="s">
        <v>1174</v>
      </c>
      <c r="K4" s="1669">
        <v>45</v>
      </c>
      <c r="L4" t="s">
        <v>1211</v>
      </c>
    </row>
    <row r="5" spans="2:11">
      <c r="B5" s="1824" t="s">
        <v>1212</v>
      </c>
      <c r="C5" s="1825">
        <f>Outline_X_and_Y!D11+Outline_X_and_Y!D10+Outline_X_and_Y!D13</f>
        <v>348.52</v>
      </c>
      <c r="D5" s="1826"/>
      <c r="F5" s="1824" t="s">
        <v>1213</v>
      </c>
      <c r="G5" s="1825">
        <f>Outline_X_and_Y!L11+Outline_X_and_Y!L10+Outline_X_and_Y!L13</f>
        <v>202.3</v>
      </c>
      <c r="H5" s="1826"/>
      <c r="J5" s="1668" t="s">
        <v>1214</v>
      </c>
      <c r="K5" s="1669">
        <v>0.2</v>
      </c>
    </row>
    <row r="6" ht="15.6" spans="2:11">
      <c r="B6" s="1824" t="s">
        <v>1215</v>
      </c>
      <c r="C6" s="1827">
        <v>1</v>
      </c>
      <c r="D6" s="1828" t="s">
        <v>1216</v>
      </c>
      <c r="F6" s="1824" t="s">
        <v>1217</v>
      </c>
      <c r="G6" s="1827">
        <v>1</v>
      </c>
      <c r="H6" s="1828" t="s">
        <v>1218</v>
      </c>
      <c r="J6" s="1668" t="s">
        <v>1219</v>
      </c>
      <c r="K6" s="1668">
        <v>1.52</v>
      </c>
    </row>
    <row r="7" spans="2:11">
      <c r="B7" s="1829" t="s">
        <v>1220</v>
      </c>
      <c r="C7" s="1830">
        <f>IF(C4=0,"",Outline_X_and_Y!D10-C6)</f>
        <v>1</v>
      </c>
      <c r="D7" s="1831"/>
      <c r="F7" s="1829" t="s">
        <v>1221</v>
      </c>
      <c r="G7" s="1830">
        <f>IF(G4=0,"",Outline_X_and_Y!L10-G6)</f>
        <v>1.8</v>
      </c>
      <c r="H7" s="1831"/>
      <c r="J7" s="1668" t="s">
        <v>1222</v>
      </c>
      <c r="K7" s="1668">
        <v>0.3</v>
      </c>
    </row>
    <row r="8" ht="15.6" spans="2:11">
      <c r="B8" s="1832" t="s">
        <v>1223</v>
      </c>
      <c r="C8" s="1827">
        <v>0.6</v>
      </c>
      <c r="D8" s="1833" t="s">
        <v>1224</v>
      </c>
      <c r="F8" s="1832" t="s">
        <v>1225</v>
      </c>
      <c r="G8" s="1827">
        <v>0.6</v>
      </c>
      <c r="H8" s="1833" t="s">
        <v>1224</v>
      </c>
      <c r="J8" s="1668" t="s">
        <v>1226</v>
      </c>
      <c r="K8" s="1668">
        <v>0.3</v>
      </c>
    </row>
    <row r="9" ht="15.6" spans="2:11">
      <c r="B9" s="1832" t="s">
        <v>1227</v>
      </c>
      <c r="C9" s="1827"/>
      <c r="D9" s="1833" t="s">
        <v>1228</v>
      </c>
      <c r="F9" s="1832" t="s">
        <v>1229</v>
      </c>
      <c r="G9" s="1827"/>
      <c r="H9" s="1833" t="s">
        <v>1228</v>
      </c>
      <c r="J9" s="1891" t="s">
        <v>1230</v>
      </c>
      <c r="K9" s="1892">
        <f>K5*TAN(RADIANS(DEGREES(ASIN(SIN(K4*PI()/180)/K6))))+SQRT(K7^2+K8^2)</f>
        <v>0.529370121670535</v>
      </c>
    </row>
    <row r="10" spans="2:8">
      <c r="B10" s="1832" t="s">
        <v>1231</v>
      </c>
      <c r="C10" s="1827" t="s">
        <v>1232</v>
      </c>
      <c r="D10" s="1831"/>
      <c r="F10" s="1832" t="s">
        <v>1233</v>
      </c>
      <c r="G10" s="1827" t="s">
        <v>1232</v>
      </c>
      <c r="H10" s="1831"/>
    </row>
    <row r="12" ht="15.6" spans="2:8">
      <c r="B12" s="1824" t="s">
        <v>1234</v>
      </c>
      <c r="C12" s="1827">
        <v>1</v>
      </c>
      <c r="D12" s="1828" t="s">
        <v>1216</v>
      </c>
      <c r="F12" s="1824" t="s">
        <v>1235</v>
      </c>
      <c r="G12" s="1827">
        <v>1.8</v>
      </c>
      <c r="H12" s="1828" t="s">
        <v>1218</v>
      </c>
    </row>
    <row r="13" spans="2:8">
      <c r="B13" s="1829" t="s">
        <v>1236</v>
      </c>
      <c r="C13" s="1830">
        <f>IF(C4=0,"",Outline_X_and_Y!D13-C12)</f>
        <v>1.3</v>
      </c>
      <c r="D13" s="1831"/>
      <c r="F13" s="1829" t="s">
        <v>1237</v>
      </c>
      <c r="G13" s="1830">
        <f>IF(G4=0,"",Outline_X_and_Y!L13-G12)</f>
        <v>1.4</v>
      </c>
      <c r="H13" s="1831"/>
    </row>
    <row r="14" ht="15.6" spans="2:8">
      <c r="B14" s="1832" t="s">
        <v>1238</v>
      </c>
      <c r="C14" s="1827">
        <v>0.6</v>
      </c>
      <c r="D14" s="1833" t="s">
        <v>1224</v>
      </c>
      <c r="F14" s="1832" t="s">
        <v>1225</v>
      </c>
      <c r="G14" s="1827">
        <v>1.2</v>
      </c>
      <c r="H14" s="1833" t="s">
        <v>1224</v>
      </c>
    </row>
    <row r="15" ht="15.6" spans="2:8">
      <c r="B15" s="1832" t="s">
        <v>1239</v>
      </c>
      <c r="C15" s="1827"/>
      <c r="D15" s="1833" t="s">
        <v>1228</v>
      </c>
      <c r="F15" s="1832" t="s">
        <v>1229</v>
      </c>
      <c r="G15" s="1827"/>
      <c r="H15" s="1833" t="s">
        <v>1228</v>
      </c>
    </row>
    <row r="16" spans="2:8">
      <c r="B16" s="1832" t="s">
        <v>1240</v>
      </c>
      <c r="C16" s="1827" t="s">
        <v>1232</v>
      </c>
      <c r="D16" s="1831"/>
      <c r="F16" s="1832" t="s">
        <v>1241</v>
      </c>
      <c r="G16" s="1827" t="s">
        <v>1232</v>
      </c>
      <c r="H16" s="1831"/>
    </row>
    <row r="18" s="733" customFormat="1" ht="17.4" spans="2:11">
      <c r="B18" s="1834" t="s">
        <v>1242</v>
      </c>
      <c r="C18" s="1834"/>
      <c r="D18" s="1834"/>
      <c r="E18" s="1834"/>
      <c r="F18" s="1834"/>
      <c r="G18" s="1834"/>
      <c r="H18" s="1834"/>
      <c r="I18" s="1834"/>
      <c r="J18" s="1834"/>
      <c r="K18" s="1834"/>
    </row>
    <row r="19" s="733" customFormat="1" ht="15.6" spans="2:10">
      <c r="B19" s="1835" t="s">
        <v>1243</v>
      </c>
      <c r="C19" s="1836" t="s">
        <v>1244</v>
      </c>
      <c r="D19" s="1836" t="s">
        <v>1245</v>
      </c>
      <c r="E19" s="1836"/>
      <c r="F19" s="1835" t="s">
        <v>67</v>
      </c>
      <c r="G19" s="1836" t="s">
        <v>1246</v>
      </c>
      <c r="H19" s="1836" t="s">
        <v>1247</v>
      </c>
      <c r="I19" s="1836" t="s">
        <v>1248</v>
      </c>
      <c r="J19" s="1836" t="s">
        <v>113</v>
      </c>
    </row>
    <row r="20" s="733" customFormat="1" ht="15" spans="2:10">
      <c r="B20" s="1837" t="s">
        <v>1249</v>
      </c>
      <c r="C20" s="1838" t="s">
        <v>1250</v>
      </c>
      <c r="D20" s="1839"/>
      <c r="E20" s="1840"/>
      <c r="F20" s="1841" t="s">
        <v>1251</v>
      </c>
      <c r="G20" s="1840">
        <v>60</v>
      </c>
      <c r="H20" s="1840" t="s">
        <v>1252</v>
      </c>
      <c r="I20" s="1893">
        <v>3.62</v>
      </c>
      <c r="J20" s="1893"/>
    </row>
    <row r="21" s="733" customFormat="1" ht="15" spans="2:10">
      <c r="B21" s="1842"/>
      <c r="C21" s="1843" t="s">
        <v>1253</v>
      </c>
      <c r="D21" s="1844"/>
      <c r="E21" s="1845"/>
      <c r="F21" s="1846" t="s">
        <v>1254</v>
      </c>
      <c r="G21" s="1845">
        <v>60</v>
      </c>
      <c r="H21" s="1845" t="s">
        <v>1255</v>
      </c>
      <c r="I21" s="1867">
        <f>+I20*0.8</f>
        <v>2.896</v>
      </c>
      <c r="J21" s="1867"/>
    </row>
    <row r="22" s="733" customFormat="1" ht="15" spans="2:10">
      <c r="B22" s="1847"/>
      <c r="C22" s="1848" t="s">
        <v>1256</v>
      </c>
      <c r="D22" s="1849"/>
      <c r="E22" s="1850"/>
      <c r="F22" s="1851" t="s">
        <v>1257</v>
      </c>
      <c r="G22" s="1850">
        <v>50</v>
      </c>
      <c r="H22" s="1850" t="s">
        <v>1258</v>
      </c>
      <c r="I22" s="1894">
        <f>+I20*0.95</f>
        <v>3.439</v>
      </c>
      <c r="J22" s="1895" t="s">
        <v>1259</v>
      </c>
    </row>
    <row r="23" s="733" customFormat="1" ht="30" spans="2:10">
      <c r="B23" s="1852" t="s">
        <v>1260</v>
      </c>
      <c r="C23" s="1838" t="s">
        <v>1261</v>
      </c>
      <c r="D23" s="1853"/>
      <c r="E23" s="1854"/>
      <c r="F23" s="1855" t="s">
        <v>1262</v>
      </c>
      <c r="G23" s="1854">
        <v>55</v>
      </c>
      <c r="H23" s="1854" t="s">
        <v>1255</v>
      </c>
      <c r="I23" s="1893">
        <v>1.32</v>
      </c>
      <c r="J23" s="1896"/>
    </row>
    <row r="24" s="733" customFormat="1" ht="30" spans="2:10">
      <c r="B24" s="1856" t="s">
        <v>1263</v>
      </c>
      <c r="C24" s="1843" t="s">
        <v>1264</v>
      </c>
      <c r="D24" s="1857"/>
      <c r="E24" s="1858"/>
      <c r="F24" s="1859" t="s">
        <v>1265</v>
      </c>
      <c r="G24" s="1858">
        <v>55</v>
      </c>
      <c r="H24" s="1858" t="s">
        <v>1255</v>
      </c>
      <c r="I24" s="1867">
        <v>1.4</v>
      </c>
      <c r="J24" s="1897"/>
    </row>
    <row r="25" s="733" customFormat="1" ht="30" spans="2:10">
      <c r="B25" s="1842"/>
      <c r="C25" s="1860" t="s">
        <v>1266</v>
      </c>
      <c r="D25" s="1861"/>
      <c r="E25" s="1862"/>
      <c r="F25" s="1863" t="s">
        <v>1267</v>
      </c>
      <c r="G25" s="1862">
        <v>60</v>
      </c>
      <c r="H25" s="1862" t="s">
        <v>1255</v>
      </c>
      <c r="I25" s="1866">
        <v>1</v>
      </c>
      <c r="J25" s="1866"/>
    </row>
    <row r="26" s="733" customFormat="1" ht="15" spans="2:10">
      <c r="B26" s="1851"/>
      <c r="C26" s="1848" t="s">
        <v>1268</v>
      </c>
      <c r="D26" s="1849"/>
      <c r="E26" s="1850"/>
      <c r="F26" s="1851" t="s">
        <v>1269</v>
      </c>
      <c r="G26" s="1850">
        <v>58</v>
      </c>
      <c r="H26" s="1850" t="s">
        <v>1255</v>
      </c>
      <c r="I26" s="1894">
        <v>1.36</v>
      </c>
      <c r="J26" s="1894"/>
    </row>
    <row r="27" s="733" customFormat="1"/>
    <row r="28" s="733" customFormat="1" ht="17.4" spans="2:11">
      <c r="B28" s="1834" t="s">
        <v>1270</v>
      </c>
      <c r="C28" s="1834"/>
      <c r="D28" s="1834"/>
      <c r="E28" s="1834"/>
      <c r="F28" s="1834"/>
      <c r="G28" s="1834"/>
      <c r="H28" s="1834"/>
      <c r="I28" s="1834"/>
      <c r="J28" s="1898"/>
      <c r="K28" s="1898"/>
    </row>
    <row r="29" s="733" customFormat="1" ht="15.6" spans="2:11">
      <c r="B29" s="1864" t="s">
        <v>1271</v>
      </c>
      <c r="C29" s="1865" t="s">
        <v>1244</v>
      </c>
      <c r="D29" s="1865" t="s">
        <v>1245</v>
      </c>
      <c r="E29" s="1865" t="s">
        <v>1247</v>
      </c>
      <c r="F29" s="1864" t="s">
        <v>67</v>
      </c>
      <c r="G29" s="1865" t="s">
        <v>1248</v>
      </c>
      <c r="H29" s="1864" t="s">
        <v>1272</v>
      </c>
      <c r="I29" s="1899"/>
      <c r="J29" s="1899"/>
      <c r="K29" s="1898"/>
    </row>
    <row r="30" s="733" customFormat="1" ht="15" spans="2:11">
      <c r="B30" s="1863" t="s">
        <v>1273</v>
      </c>
      <c r="C30" s="1860" t="s">
        <v>1274</v>
      </c>
      <c r="D30" s="1861">
        <v>1</v>
      </c>
      <c r="E30" s="1862" t="s">
        <v>1275</v>
      </c>
      <c r="F30" s="1863" t="s">
        <v>1276</v>
      </c>
      <c r="G30" s="1866">
        <v>1</v>
      </c>
      <c r="H30" s="1862" t="s">
        <v>1277</v>
      </c>
      <c r="I30" s="1899"/>
      <c r="J30" s="1899"/>
      <c r="K30" s="1898"/>
    </row>
    <row r="31" s="733" customFormat="1" ht="15" spans="2:11">
      <c r="B31" s="1847" t="s">
        <v>1273</v>
      </c>
      <c r="C31" s="1843" t="s">
        <v>1274</v>
      </c>
      <c r="D31" s="1857">
        <v>2</v>
      </c>
      <c r="E31" s="1858" t="s">
        <v>1278</v>
      </c>
      <c r="F31" s="1847" t="s">
        <v>1279</v>
      </c>
      <c r="G31" s="1867">
        <v>1.05</v>
      </c>
      <c r="H31" s="1858" t="s">
        <v>1280</v>
      </c>
      <c r="I31" s="1899"/>
      <c r="J31" s="1899"/>
      <c r="K31" s="1898"/>
    </row>
    <row r="32" s="733" customFormat="1" ht="15" spans="2:11">
      <c r="B32" s="1863" t="s">
        <v>1273</v>
      </c>
      <c r="C32" s="1860" t="s">
        <v>1281</v>
      </c>
      <c r="D32" s="1861">
        <v>1</v>
      </c>
      <c r="E32" s="1862" t="s">
        <v>1275</v>
      </c>
      <c r="F32" s="1863" t="s">
        <v>1282</v>
      </c>
      <c r="G32" s="1866">
        <v>1.04</v>
      </c>
      <c r="H32" s="1862" t="s">
        <v>1277</v>
      </c>
      <c r="I32" s="1899"/>
      <c r="J32" s="1899"/>
      <c r="K32" s="1900"/>
    </row>
    <row r="33" s="733" customFormat="1" ht="15" spans="2:11">
      <c r="B33" s="1847" t="s">
        <v>1273</v>
      </c>
      <c r="C33" s="1843" t="s">
        <v>1281</v>
      </c>
      <c r="D33" s="1857">
        <v>2</v>
      </c>
      <c r="E33" s="1858" t="s">
        <v>1278</v>
      </c>
      <c r="F33" s="1847" t="s">
        <v>1283</v>
      </c>
      <c r="G33" s="1867">
        <v>1.18</v>
      </c>
      <c r="H33" s="1858" t="s">
        <v>1280</v>
      </c>
      <c r="I33" s="1900"/>
      <c r="J33" s="1900"/>
      <c r="K33" s="1900"/>
    </row>
    <row r="34" s="733" customFormat="1"/>
    <row r="35" s="733" customFormat="1" ht="15" spans="2:15">
      <c r="B35" s="1868" t="s">
        <v>1284</v>
      </c>
      <c r="C35" s="1869" t="s">
        <v>67</v>
      </c>
      <c r="D35" s="1869" t="s">
        <v>443</v>
      </c>
      <c r="E35" s="1869" t="s">
        <v>1285</v>
      </c>
      <c r="F35" s="1869" t="s">
        <v>1286</v>
      </c>
      <c r="G35" s="1869"/>
      <c r="H35" s="1869" t="s">
        <v>1287</v>
      </c>
      <c r="I35" s="1869"/>
      <c r="J35" s="1869" t="s">
        <v>1288</v>
      </c>
      <c r="K35" s="1869"/>
      <c r="L35" s="1869" t="s">
        <v>1289</v>
      </c>
      <c r="M35" s="1869" t="s">
        <v>1290</v>
      </c>
      <c r="N35" s="1869" t="s">
        <v>1291</v>
      </c>
      <c r="O35" s="1869" t="s">
        <v>1292</v>
      </c>
    </row>
    <row r="36" s="733" customFormat="1" ht="15" spans="2:15">
      <c r="B36" s="1870"/>
      <c r="C36" s="1869"/>
      <c r="D36" s="1869"/>
      <c r="E36" s="1869"/>
      <c r="F36" s="1869" t="s">
        <v>1293</v>
      </c>
      <c r="G36" s="1869" t="s">
        <v>1294</v>
      </c>
      <c r="H36" s="1869" t="s">
        <v>1287</v>
      </c>
      <c r="I36" s="1869" t="s">
        <v>1294</v>
      </c>
      <c r="J36" s="1869" t="s">
        <v>1288</v>
      </c>
      <c r="K36" s="1869" t="s">
        <v>1294</v>
      </c>
      <c r="L36" s="1869"/>
      <c r="M36" s="1869"/>
      <c r="N36" s="1869"/>
      <c r="O36" s="1901"/>
    </row>
    <row r="37" s="733" customFormat="1" ht="120" spans="2:15">
      <c r="B37" s="1870"/>
      <c r="C37" s="1871" t="s">
        <v>1295</v>
      </c>
      <c r="D37" s="1872" t="s">
        <v>1296</v>
      </c>
      <c r="E37" s="1871">
        <v>70</v>
      </c>
      <c r="F37" s="1873" t="s">
        <v>1297</v>
      </c>
      <c r="G37" s="1871"/>
      <c r="H37" s="1873" t="s">
        <v>1298</v>
      </c>
      <c r="I37" s="1871"/>
      <c r="J37" s="1871" t="s">
        <v>1299</v>
      </c>
      <c r="K37" s="1871"/>
      <c r="L37" s="1871" t="s">
        <v>1300</v>
      </c>
      <c r="M37" s="1873">
        <v>400</v>
      </c>
      <c r="N37" s="1902" t="s">
        <v>1301</v>
      </c>
      <c r="O37" s="1902" t="s">
        <v>1302</v>
      </c>
    </row>
    <row r="38" s="733" customFormat="1" ht="15" spans="2:15">
      <c r="B38" s="1870"/>
      <c r="C38" s="1871" t="s">
        <v>1303</v>
      </c>
      <c r="D38" s="1872"/>
      <c r="E38" s="1871">
        <v>50</v>
      </c>
      <c r="F38" s="1873" t="s">
        <v>1304</v>
      </c>
      <c r="G38" s="1871"/>
      <c r="H38" s="1873" t="s">
        <v>1298</v>
      </c>
      <c r="I38" s="1871"/>
      <c r="J38" s="1871" t="s">
        <v>1305</v>
      </c>
      <c r="K38" s="1871"/>
      <c r="L38" s="1871" t="s">
        <v>1300</v>
      </c>
      <c r="M38" s="1873">
        <v>400</v>
      </c>
      <c r="N38" s="1903"/>
      <c r="O38" s="1903"/>
    </row>
    <row r="39" s="733" customFormat="1" ht="45" spans="2:15">
      <c r="B39" s="1870"/>
      <c r="C39" s="1871" t="s">
        <v>1306</v>
      </c>
      <c r="D39" s="1872"/>
      <c r="E39" s="1871">
        <v>60</v>
      </c>
      <c r="F39" s="1873" t="s">
        <v>1297</v>
      </c>
      <c r="G39" s="1871"/>
      <c r="H39" s="1873" t="s">
        <v>1298</v>
      </c>
      <c r="I39" s="1871"/>
      <c r="J39" s="1871" t="s">
        <v>1305</v>
      </c>
      <c r="K39" s="1871"/>
      <c r="L39" s="1871" t="s">
        <v>1300</v>
      </c>
      <c r="M39" s="1873">
        <v>400</v>
      </c>
      <c r="N39" s="1903" t="s">
        <v>1307</v>
      </c>
      <c r="O39" s="1903" t="s">
        <v>1308</v>
      </c>
    </row>
    <row r="40" s="733" customFormat="1" ht="30" spans="2:15">
      <c r="B40" s="1870"/>
      <c r="C40" s="1874" t="s">
        <v>1309</v>
      </c>
      <c r="D40" s="1874" t="s">
        <v>1296</v>
      </c>
      <c r="E40" s="1874">
        <v>70</v>
      </c>
      <c r="F40" s="1874" t="s">
        <v>1304</v>
      </c>
      <c r="G40" s="1874"/>
      <c r="H40" s="1874" t="s">
        <v>1298</v>
      </c>
      <c r="I40" s="1874"/>
      <c r="J40" s="1904" t="s">
        <v>1299</v>
      </c>
      <c r="K40" s="1874"/>
      <c r="L40" s="1904" t="s">
        <v>1300</v>
      </c>
      <c r="M40" s="1874">
        <v>400</v>
      </c>
      <c r="N40" s="1874" t="s">
        <v>1310</v>
      </c>
      <c r="O40" s="1874" t="s">
        <v>1311</v>
      </c>
    </row>
    <row r="41" s="733" customFormat="1" ht="30" spans="2:15">
      <c r="B41" s="1870"/>
      <c r="C41" s="1874" t="s">
        <v>1312</v>
      </c>
      <c r="D41" s="1874" t="s">
        <v>1296</v>
      </c>
      <c r="E41" s="1874">
        <v>50</v>
      </c>
      <c r="F41" s="1874" t="s">
        <v>1304</v>
      </c>
      <c r="G41" s="1874"/>
      <c r="H41" s="1874" t="s">
        <v>1298</v>
      </c>
      <c r="I41" s="1874"/>
      <c r="J41" s="1904" t="s">
        <v>1299</v>
      </c>
      <c r="K41" s="1874"/>
      <c r="L41" s="1904" t="s">
        <v>1300</v>
      </c>
      <c r="M41" s="1874">
        <v>400</v>
      </c>
      <c r="N41" s="1874" t="s">
        <v>1313</v>
      </c>
      <c r="O41" s="1874" t="s">
        <v>1311</v>
      </c>
    </row>
    <row r="42" s="733" customFormat="1" ht="45" spans="2:15">
      <c r="B42" s="1870"/>
      <c r="C42" s="1874" t="s">
        <v>1314</v>
      </c>
      <c r="D42" s="1874" t="s">
        <v>1296</v>
      </c>
      <c r="E42" s="1874">
        <v>100</v>
      </c>
      <c r="F42" s="1874" t="s">
        <v>1297</v>
      </c>
      <c r="G42" s="1874"/>
      <c r="H42" s="1874" t="s">
        <v>1298</v>
      </c>
      <c r="I42" s="1874"/>
      <c r="J42" s="1904" t="s">
        <v>1315</v>
      </c>
      <c r="K42" s="1874"/>
      <c r="L42" s="1904" t="s">
        <v>7</v>
      </c>
      <c r="M42" s="1874">
        <v>0.8</v>
      </c>
      <c r="N42" s="1874" t="s">
        <v>1316</v>
      </c>
      <c r="O42" s="1874" t="s">
        <v>1317</v>
      </c>
    </row>
    <row r="43" s="733" customFormat="1" ht="15" spans="2:15">
      <c r="B43" s="1870"/>
      <c r="C43" s="1874" t="s">
        <v>1318</v>
      </c>
      <c r="D43" s="1874" t="s">
        <v>1255</v>
      </c>
      <c r="E43" s="1874"/>
      <c r="F43" s="1874"/>
      <c r="G43" s="1874"/>
      <c r="H43" s="1874"/>
      <c r="I43" s="1874"/>
      <c r="J43" s="1874"/>
      <c r="K43" s="1874"/>
      <c r="L43" s="1874"/>
      <c r="M43" s="1874"/>
      <c r="N43" s="1874" t="s">
        <v>1319</v>
      </c>
      <c r="O43" s="1874" t="s">
        <v>1320</v>
      </c>
    </row>
    <row r="44" s="733" customFormat="1" spans="3:15">
      <c r="C44" s="1875"/>
      <c r="D44" s="1875"/>
      <c r="E44" s="1875"/>
      <c r="F44" s="1875"/>
      <c r="G44" s="1875"/>
      <c r="H44" s="1875"/>
      <c r="I44" s="1875"/>
      <c r="J44" s="1875"/>
      <c r="K44" s="1875"/>
      <c r="L44" s="1875"/>
      <c r="M44" s="1875"/>
      <c r="N44" s="1875"/>
      <c r="O44" s="1875"/>
    </row>
    <row r="45" s="733" customFormat="1" spans="2:16">
      <c r="B45" s="1876" t="s">
        <v>1321</v>
      </c>
      <c r="C45" s="1877" t="s">
        <v>67</v>
      </c>
      <c r="D45" s="1877" t="s">
        <v>443</v>
      </c>
      <c r="E45" s="1878" t="s">
        <v>93</v>
      </c>
      <c r="F45" s="1877" t="s">
        <v>1285</v>
      </c>
      <c r="G45" s="1877" t="s">
        <v>1286</v>
      </c>
      <c r="H45" s="1877"/>
      <c r="I45" s="1877" t="s">
        <v>1287</v>
      </c>
      <c r="J45" s="1877"/>
      <c r="K45" s="1877" t="s">
        <v>1288</v>
      </c>
      <c r="L45" s="1877"/>
      <c r="M45" s="1877" t="s">
        <v>1289</v>
      </c>
      <c r="N45" s="1877" t="s">
        <v>1322</v>
      </c>
      <c r="O45" s="1877" t="s">
        <v>1291</v>
      </c>
      <c r="P45" s="1877" t="s">
        <v>1292</v>
      </c>
    </row>
    <row r="46" s="733" customFormat="1" ht="26.4" spans="2:16">
      <c r="B46" s="1879"/>
      <c r="C46" s="1877"/>
      <c r="D46" s="1877"/>
      <c r="E46" s="1880"/>
      <c r="F46" s="1877"/>
      <c r="G46" s="1877" t="s">
        <v>1293</v>
      </c>
      <c r="H46" s="1877" t="s">
        <v>1294</v>
      </c>
      <c r="I46" s="1877" t="s">
        <v>1287</v>
      </c>
      <c r="J46" s="1877" t="s">
        <v>1294</v>
      </c>
      <c r="K46" s="1877" t="s">
        <v>1288</v>
      </c>
      <c r="L46" s="1877" t="s">
        <v>1294</v>
      </c>
      <c r="M46" s="1877"/>
      <c r="N46" s="1877"/>
      <c r="O46" s="1877"/>
      <c r="P46" s="1905"/>
    </row>
    <row r="47" s="733" customFormat="1" ht="52.8" spans="2:16">
      <c r="B47" s="1879"/>
      <c r="C47" s="1881" t="s">
        <v>1323</v>
      </c>
      <c r="D47" s="1882" t="s">
        <v>1296</v>
      </c>
      <c r="E47" s="1882" t="s">
        <v>1324</v>
      </c>
      <c r="F47" s="1883">
        <v>30</v>
      </c>
      <c r="G47" s="1666" t="s">
        <v>1325</v>
      </c>
      <c r="H47" s="1883"/>
      <c r="I47" s="1666" t="s">
        <v>1326</v>
      </c>
      <c r="J47" s="1883"/>
      <c r="K47" s="1883" t="s">
        <v>1299</v>
      </c>
      <c r="L47" s="1883"/>
      <c r="M47" s="1883" t="s">
        <v>1327</v>
      </c>
      <c r="N47" s="1906" t="s">
        <v>1328</v>
      </c>
      <c r="O47" s="1907" t="s">
        <v>1329</v>
      </c>
      <c r="P47" s="1907" t="s">
        <v>1330</v>
      </c>
    </row>
    <row r="48" s="733" customFormat="1" ht="105.6" spans="2:16">
      <c r="B48" s="1879"/>
      <c r="C48" s="1883" t="s">
        <v>1331</v>
      </c>
      <c r="D48" s="1882"/>
      <c r="E48" s="1882"/>
      <c r="F48" s="1883">
        <v>50</v>
      </c>
      <c r="G48" s="1666" t="s">
        <v>1297</v>
      </c>
      <c r="H48" s="1883"/>
      <c r="I48" s="1666" t="s">
        <v>1298</v>
      </c>
      <c r="J48" s="1883"/>
      <c r="K48" s="1883" t="s">
        <v>1299</v>
      </c>
      <c r="L48" s="1883"/>
      <c r="M48" s="1883" t="s">
        <v>1327</v>
      </c>
      <c r="N48" s="1906" t="s">
        <v>1328</v>
      </c>
      <c r="O48" s="1907" t="s">
        <v>1332</v>
      </c>
      <c r="P48" s="1907" t="s">
        <v>1317</v>
      </c>
    </row>
    <row r="49" s="733" customFormat="1" ht="66" spans="2:16">
      <c r="B49" s="1879"/>
      <c r="C49" s="1883" t="s">
        <v>1333</v>
      </c>
      <c r="D49" s="1882"/>
      <c r="E49" s="1882"/>
      <c r="F49" s="1883">
        <v>50</v>
      </c>
      <c r="G49" s="1666" t="s">
        <v>1334</v>
      </c>
      <c r="H49" s="1883"/>
      <c r="I49" s="1666" t="s">
        <v>1298</v>
      </c>
      <c r="J49" s="1883"/>
      <c r="K49" s="1883" t="s">
        <v>1299</v>
      </c>
      <c r="L49" s="1883"/>
      <c r="M49" s="1883" t="s">
        <v>1327</v>
      </c>
      <c r="N49" s="1906" t="s">
        <v>1328</v>
      </c>
      <c r="O49" s="1908" t="s">
        <v>1335</v>
      </c>
      <c r="P49" s="1908" t="s">
        <v>1336</v>
      </c>
    </row>
    <row r="50" s="733" customFormat="1" spans="2:16">
      <c r="B50" s="1879"/>
      <c r="C50" s="1881" t="s">
        <v>1337</v>
      </c>
      <c r="D50" s="1882"/>
      <c r="E50" s="1882" t="s">
        <v>1338</v>
      </c>
      <c r="F50" s="1883">
        <v>50</v>
      </c>
      <c r="G50" s="1666" t="s">
        <v>1304</v>
      </c>
      <c r="H50" s="1883"/>
      <c r="I50" s="1666" t="s">
        <v>1298</v>
      </c>
      <c r="J50" s="1883"/>
      <c r="K50" s="1883" t="s">
        <v>1299</v>
      </c>
      <c r="L50" s="1883"/>
      <c r="M50" s="1883" t="s">
        <v>1327</v>
      </c>
      <c r="N50" s="1906" t="s">
        <v>1328</v>
      </c>
      <c r="O50" s="1907" t="s">
        <v>1339</v>
      </c>
      <c r="P50" s="1907" t="s">
        <v>1317</v>
      </c>
    </row>
    <row r="51" s="733" customFormat="1" spans="2:16">
      <c r="B51" s="1879"/>
      <c r="C51" s="1881" t="s">
        <v>1340</v>
      </c>
      <c r="D51" s="1882"/>
      <c r="E51" s="1882" t="s">
        <v>1324</v>
      </c>
      <c r="F51" s="1883">
        <v>50</v>
      </c>
      <c r="G51" s="1666" t="s">
        <v>1341</v>
      </c>
      <c r="H51" s="1883"/>
      <c r="I51" s="1666" t="s">
        <v>1298</v>
      </c>
      <c r="J51" s="1883"/>
      <c r="K51" s="1883" t="s">
        <v>1299</v>
      </c>
      <c r="L51" s="1883"/>
      <c r="M51" s="1883" t="s">
        <v>1327</v>
      </c>
      <c r="N51" s="1906" t="s">
        <v>1328</v>
      </c>
      <c r="O51" s="1907"/>
      <c r="P51" s="1907"/>
    </row>
    <row r="52" s="733" customFormat="1" ht="52.8" spans="2:16">
      <c r="B52" s="1879"/>
      <c r="C52" s="1884" t="s">
        <v>1342</v>
      </c>
      <c r="D52" s="1882"/>
      <c r="E52" s="1882"/>
      <c r="F52" s="1883">
        <v>50</v>
      </c>
      <c r="G52" s="1666" t="s">
        <v>1343</v>
      </c>
      <c r="H52" s="1883"/>
      <c r="I52" s="1666" t="s">
        <v>1298</v>
      </c>
      <c r="J52" s="1883"/>
      <c r="K52" s="1883" t="s">
        <v>1344</v>
      </c>
      <c r="L52" s="1883"/>
      <c r="M52" s="1883" t="s">
        <v>1345</v>
      </c>
      <c r="N52" s="1906" t="s">
        <v>1328</v>
      </c>
      <c r="O52" s="1909" t="s">
        <v>1346</v>
      </c>
      <c r="P52" s="1909" t="s">
        <v>1347</v>
      </c>
    </row>
    <row r="53" s="733" customFormat="1" ht="52.8" spans="2:16">
      <c r="B53" s="1879"/>
      <c r="C53" s="1885" t="s">
        <v>1348</v>
      </c>
      <c r="D53" s="1882"/>
      <c r="E53" s="1882"/>
      <c r="F53" s="1885"/>
      <c r="G53" s="1886"/>
      <c r="H53" s="1885"/>
      <c r="I53" s="1886"/>
      <c r="J53" s="1885"/>
      <c r="K53" s="1885"/>
      <c r="L53" s="1883"/>
      <c r="M53" s="1885"/>
      <c r="N53" s="1910"/>
      <c r="O53" s="1911" t="s">
        <v>1349</v>
      </c>
      <c r="P53" s="1911" t="s">
        <v>1350</v>
      </c>
    </row>
    <row r="54" s="733" customFormat="1" ht="79.2" spans="2:16">
      <c r="B54" s="1879"/>
      <c r="C54" s="1883" t="s">
        <v>1351</v>
      </c>
      <c r="D54" s="1887" t="s">
        <v>1352</v>
      </c>
      <c r="E54" s="1887"/>
      <c r="F54" s="1883">
        <v>50</v>
      </c>
      <c r="G54" s="1666" t="s">
        <v>1297</v>
      </c>
      <c r="H54" s="1666" t="s">
        <v>7</v>
      </c>
      <c r="I54" s="1666" t="s">
        <v>7</v>
      </c>
      <c r="J54" s="1666" t="s">
        <v>7</v>
      </c>
      <c r="K54" s="1666" t="s">
        <v>1353</v>
      </c>
      <c r="L54" s="1883" t="s">
        <v>7</v>
      </c>
      <c r="M54" s="1883" t="s">
        <v>7</v>
      </c>
      <c r="N54" s="1883" t="s">
        <v>7</v>
      </c>
      <c r="O54" s="1912"/>
      <c r="P54" s="1912"/>
    </row>
    <row r="55" s="733" customFormat="1" spans="2:16">
      <c r="B55" s="1879"/>
      <c r="C55" s="1883" t="s">
        <v>1354</v>
      </c>
      <c r="D55" s="1888" t="s">
        <v>1355</v>
      </c>
      <c r="E55" s="1888"/>
      <c r="F55" s="1883">
        <v>30</v>
      </c>
      <c r="G55" s="1666" t="s">
        <v>1334</v>
      </c>
      <c r="H55" s="1666" t="s">
        <v>7</v>
      </c>
      <c r="I55" s="1666" t="s">
        <v>7</v>
      </c>
      <c r="J55" s="1883" t="s">
        <v>7</v>
      </c>
      <c r="K55" s="1883" t="s">
        <v>1356</v>
      </c>
      <c r="L55" s="1883" t="s">
        <v>7</v>
      </c>
      <c r="M55" s="1883" t="s">
        <v>7</v>
      </c>
      <c r="N55" s="1883" t="s">
        <v>7</v>
      </c>
      <c r="O55" s="1912" t="s">
        <v>1357</v>
      </c>
      <c r="P55" s="1912" t="s">
        <v>1317</v>
      </c>
    </row>
    <row r="56" s="733" customFormat="1" ht="26.4" spans="2:16">
      <c r="B56" s="1879"/>
      <c r="C56" s="1885" t="s">
        <v>1358</v>
      </c>
      <c r="D56" s="1889"/>
      <c r="E56" s="1889"/>
      <c r="F56" s="1890">
        <v>100</v>
      </c>
      <c r="G56" s="1889" t="s">
        <v>1359</v>
      </c>
      <c r="H56" s="1889"/>
      <c r="I56" s="1889" t="s">
        <v>1298</v>
      </c>
      <c r="J56" s="1889"/>
      <c r="K56" s="1890" t="s">
        <v>1360</v>
      </c>
      <c r="L56" s="1889"/>
      <c r="M56" s="1890" t="s">
        <v>1361</v>
      </c>
      <c r="N56" s="1913" t="s">
        <v>1362</v>
      </c>
      <c r="O56" s="1911" t="s">
        <v>1363</v>
      </c>
      <c r="P56" s="1911" t="s">
        <v>1317</v>
      </c>
    </row>
    <row r="57" s="733" customFormat="1" ht="26.4" spans="2:16">
      <c r="B57" s="1879"/>
      <c r="C57" s="1885" t="s">
        <v>1364</v>
      </c>
      <c r="D57" s="1889"/>
      <c r="E57" s="1889"/>
      <c r="F57" s="1890">
        <v>150</v>
      </c>
      <c r="G57" s="1889" t="s">
        <v>1359</v>
      </c>
      <c r="H57" s="1889"/>
      <c r="I57" s="1889" t="s">
        <v>1298</v>
      </c>
      <c r="J57" s="1889"/>
      <c r="K57" s="1890" t="s">
        <v>1360</v>
      </c>
      <c r="L57" s="1889"/>
      <c r="M57" s="1890" t="s">
        <v>1361</v>
      </c>
      <c r="N57" s="1913" t="s">
        <v>1328</v>
      </c>
      <c r="O57" s="1911" t="s">
        <v>1365</v>
      </c>
      <c r="P57" s="1911" t="s">
        <v>1317</v>
      </c>
    </row>
  </sheetData>
  <sheetProtection sheet="1" objects="1" scenarios="1"/>
  <protectedRanges>
    <protectedRange sqref="K4:K5" name="区域3"/>
    <protectedRange sqref="G14:G15 C14:C15" name="区域1_1"/>
    <protectedRange sqref="G8:G9 C8:C9" name="区域1"/>
  </protectedRanges>
  <mergeCells count="35">
    <mergeCell ref="B3:C3"/>
    <mergeCell ref="F3:G3"/>
    <mergeCell ref="B18:K18"/>
    <mergeCell ref="B28:I28"/>
    <mergeCell ref="F35:G35"/>
    <mergeCell ref="H35:I35"/>
    <mergeCell ref="G45:H45"/>
    <mergeCell ref="I45:J45"/>
    <mergeCell ref="K45:L45"/>
    <mergeCell ref="B20:B22"/>
    <mergeCell ref="B35:B43"/>
    <mergeCell ref="B45:B57"/>
    <mergeCell ref="C35:C36"/>
    <mergeCell ref="C45:C46"/>
    <mergeCell ref="D35:D36"/>
    <mergeCell ref="D37:D39"/>
    <mergeCell ref="D45:D46"/>
    <mergeCell ref="D47:D53"/>
    <mergeCell ref="E35:E36"/>
    <mergeCell ref="E45:E46"/>
    <mergeCell ref="F45:F46"/>
    <mergeCell ref="G37:G39"/>
    <mergeCell ref="H47:H52"/>
    <mergeCell ref="I37:I39"/>
    <mergeCell ref="J47:J52"/>
    <mergeCell ref="K37:K39"/>
    <mergeCell ref="L35:L36"/>
    <mergeCell ref="L47:L53"/>
    <mergeCell ref="M35:M36"/>
    <mergeCell ref="M45:M46"/>
    <mergeCell ref="N35:N36"/>
    <mergeCell ref="N45:N46"/>
    <mergeCell ref="O35:O36"/>
    <mergeCell ref="O45:O46"/>
    <mergeCell ref="P45:P46"/>
  </mergeCells>
  <conditionalFormatting sqref="C7">
    <cfRule type="expression" dxfId="8" priority="4">
      <formula>$C$7&lt;0.8</formula>
    </cfRule>
  </conditionalFormatting>
  <conditionalFormatting sqref="G7">
    <cfRule type="expression" dxfId="8" priority="2">
      <formula>$G$7&lt;0.8</formula>
    </cfRule>
  </conditionalFormatting>
  <conditionalFormatting sqref="C13">
    <cfRule type="expression" dxfId="8" priority="3">
      <formula>$C$13&lt;0.8</formula>
    </cfRule>
  </conditionalFormatting>
  <conditionalFormatting sqref="G13">
    <cfRule type="expression" dxfId="8" priority="1">
      <formula>$G$13&lt;0.8</formula>
    </cfRule>
  </conditionalFormatting>
  <dataValidations count="1">
    <dataValidation type="list" allowBlank="1" showInputMessage="1" showErrorMessage="1" sqref="C10 G10 C16 G16">
      <formula1>$C$20:$C$26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9">
    <tabColor rgb="FFFFFF00"/>
  </sheetPr>
  <dimension ref="I4:W23"/>
  <sheetViews>
    <sheetView showGridLines="0" zoomScale="85" zoomScaleNormal="85" workbookViewId="0">
      <selection activeCell="AC21" sqref="AC21"/>
    </sheetView>
  </sheetViews>
  <sheetFormatPr defaultColWidth="8.88888888888889" defaultRowHeight="14.4"/>
  <cols>
    <col min="1" max="11" width="8.88888888888889" style="1816"/>
    <col min="12" max="12" width="6.22222222222222" style="1816" customWidth="1"/>
    <col min="13" max="13" width="8.88888888888889" style="1816"/>
    <col min="14" max="15" width="7.22222222222222" style="1816" customWidth="1"/>
    <col min="16" max="17" width="8.88888888888889" style="1816"/>
    <col min="18" max="18" width="3.22222222222222" style="1816" customWidth="1"/>
    <col min="19" max="20" width="8.88888888888889" style="1816"/>
    <col min="21" max="21" width="7.44444444444444" style="1816" customWidth="1"/>
    <col min="22" max="22" width="8.88888888888889" style="1816"/>
    <col min="23" max="23" width="5.33333333333333" style="1816" customWidth="1"/>
    <col min="24" max="16384" width="8.88888888888889" style="1816"/>
  </cols>
  <sheetData>
    <row r="4" ht="20.25" customHeight="1" spans="9:22">
      <c r="I4" s="1817">
        <v>99</v>
      </c>
      <c r="M4" s="1818">
        <v>115</v>
      </c>
      <c r="P4" s="1818">
        <v>50</v>
      </c>
      <c r="S4" s="1818">
        <v>55</v>
      </c>
      <c r="V4" s="1818">
        <v>56</v>
      </c>
    </row>
    <row r="5" ht="20.25" customHeight="1" spans="9:9">
      <c r="I5" s="1817">
        <v>0.058</v>
      </c>
    </row>
    <row r="6" ht="20.25" customHeight="1" spans="9:9">
      <c r="I6" s="1817">
        <v>0.5</v>
      </c>
    </row>
    <row r="7" ht="20.25" customHeight="1" spans="9:9">
      <c r="I7" s="1817">
        <v>0.12</v>
      </c>
    </row>
    <row r="8" ht="20.25" customHeight="1" spans="9:9">
      <c r="I8" s="1817">
        <v>0.375</v>
      </c>
    </row>
    <row r="9" ht="20.25" customHeight="1" spans="9:9">
      <c r="I9" s="1817">
        <v>0.35</v>
      </c>
    </row>
    <row r="10" ht="20.25" customHeight="1" spans="9:9">
      <c r="I10" s="1817">
        <v>0.13</v>
      </c>
    </row>
    <row r="11" ht="20.25" customHeight="1" spans="9:9">
      <c r="I11" s="1817">
        <v>0.12</v>
      </c>
    </row>
    <row r="12" ht="20.25" customHeight="1" spans="9:9">
      <c r="I12" s="1817">
        <v>0.31</v>
      </c>
    </row>
    <row r="13" ht="20.25" customHeight="1" spans="9:9">
      <c r="I13" s="1817">
        <v>0.2</v>
      </c>
    </row>
    <row r="14" ht="20.25" customHeight="1" spans="9:9">
      <c r="I14" s="1817">
        <v>0.75</v>
      </c>
    </row>
    <row r="15" ht="20.25" customHeight="1"/>
    <row r="16" ht="20.25" customHeight="1"/>
    <row r="17" ht="20.25" customHeight="1"/>
    <row r="18" ht="20.25" customHeight="1" spans="11:11">
      <c r="K18" s="1819">
        <v>2</v>
      </c>
    </row>
    <row r="19" ht="20.25" customHeight="1" spans="11:11">
      <c r="K19" s="1819">
        <v>0.5</v>
      </c>
    </row>
    <row r="20" ht="20.25" customHeight="1" spans="9:23">
      <c r="I20" s="1817">
        <v>0.6</v>
      </c>
      <c r="Q20" s="1818">
        <v>110</v>
      </c>
      <c r="R20" s="1820"/>
      <c r="S20" s="1820"/>
      <c r="U20" s="1820"/>
      <c r="W20" s="1820"/>
    </row>
    <row r="21" ht="20.25" customHeight="1" spans="9:17">
      <c r="I21" s="1817">
        <v>0.1</v>
      </c>
      <c r="K21" s="1816" t="s">
        <v>387</v>
      </c>
      <c r="M21" s="1816" t="s">
        <v>381</v>
      </c>
      <c r="O21" s="1816" t="s">
        <v>384</v>
      </c>
      <c r="Q21" s="1816" t="s">
        <v>376</v>
      </c>
    </row>
    <row r="22" ht="20.25" customHeight="1" spans="11:17">
      <c r="K22" s="1818">
        <v>65</v>
      </c>
      <c r="M22" s="1818">
        <v>0.31</v>
      </c>
      <c r="O22" s="1818">
        <v>0.16</v>
      </c>
      <c r="Q22" s="1818">
        <v>2</v>
      </c>
    </row>
    <row r="23" ht="20.25" customHeight="1"/>
  </sheetData>
  <sheetProtection sheet="1" objects="1" scenarios="1"/>
  <protectedRanges>
    <protectedRange sqref="I20:I21 K18:K19 Q20 K22 M22 O22 V4 S4 P4 M4 I4:I14 Q22" name="区域1"/>
  </protectedRange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5:N341"/>
  <sheetViews>
    <sheetView topLeftCell="A477" workbookViewId="0">
      <selection activeCell="E498" sqref="E498"/>
    </sheetView>
  </sheetViews>
  <sheetFormatPr defaultColWidth="9" defaultRowHeight="14.4"/>
  <cols>
    <col min="2" max="2" width="16.4444444444444" customWidth="1"/>
    <col min="3" max="3" width="18" customWidth="1"/>
    <col min="4" max="4" width="23.2222222222222" customWidth="1"/>
    <col min="5" max="7" width="16.4444444444444" customWidth="1"/>
    <col min="8" max="8" width="12" customWidth="1"/>
    <col min="9" max="9" width="21.6666666666667" customWidth="1"/>
    <col min="11" max="11" width="13.2222222222222" customWidth="1"/>
    <col min="13" max="13" width="14.7777777777778" customWidth="1"/>
  </cols>
  <sheetData>
    <row r="15" ht="20.4" spans="4:4">
      <c r="D15" s="1663" t="s">
        <v>1366</v>
      </c>
    </row>
    <row r="16" ht="20.4" spans="4:4">
      <c r="D16" s="1663" t="s">
        <v>1367</v>
      </c>
    </row>
    <row r="17" ht="20.4" spans="4:4">
      <c r="D17" s="1663" t="s">
        <v>1368</v>
      </c>
    </row>
    <row r="25" ht="15" spans="1:14">
      <c r="A25" s="351" t="s">
        <v>1369</v>
      </c>
      <c r="B25" s="1664" t="s">
        <v>1370</v>
      </c>
      <c r="C25" s="1664"/>
      <c r="D25" s="1664"/>
      <c r="E25" s="1664"/>
      <c r="F25" s="1664"/>
      <c r="G25" s="1664"/>
      <c r="I25" s="1680" t="s">
        <v>1371</v>
      </c>
      <c r="J25" s="1681"/>
      <c r="K25" s="1681"/>
      <c r="L25" s="1681"/>
      <c r="M25" s="1681"/>
      <c r="N25" s="1682"/>
    </row>
    <row r="26" ht="15" customHeight="1" spans="2:14">
      <c r="B26" s="1665" t="s">
        <v>1372</v>
      </c>
      <c r="C26" s="1666"/>
      <c r="D26" s="1665" t="s">
        <v>1373</v>
      </c>
      <c r="E26" s="1667"/>
      <c r="F26" s="1665" t="s">
        <v>1374</v>
      </c>
      <c r="G26" s="1668"/>
      <c r="I26" s="1683" t="s">
        <v>1375</v>
      </c>
      <c r="J26" s="1683"/>
      <c r="K26" s="1683" t="s">
        <v>1376</v>
      </c>
      <c r="L26" s="1683"/>
      <c r="M26" s="1683" t="s">
        <v>1377</v>
      </c>
      <c r="N26" s="1683"/>
    </row>
    <row r="27" ht="15" customHeight="1" spans="2:14">
      <c r="B27" s="1665" t="s">
        <v>1378</v>
      </c>
      <c r="C27" s="1666"/>
      <c r="D27" s="1665" t="s">
        <v>1379</v>
      </c>
      <c r="E27" s="1667"/>
      <c r="F27" s="1665" t="s">
        <v>1380</v>
      </c>
      <c r="G27" s="1668"/>
      <c r="I27" s="1683" t="s">
        <v>1381</v>
      </c>
      <c r="J27" s="1683"/>
      <c r="K27" s="1683" t="s">
        <v>1382</v>
      </c>
      <c r="L27" s="1683"/>
      <c r="M27" s="1683" t="s">
        <v>1383</v>
      </c>
      <c r="N27" s="1683"/>
    </row>
    <row r="28" ht="15" customHeight="1" spans="2:14">
      <c r="B28" s="1665" t="s">
        <v>1384</v>
      </c>
      <c r="C28" s="1666"/>
      <c r="D28" s="1665" t="s">
        <v>1385</v>
      </c>
      <c r="E28" s="1667"/>
      <c r="F28" s="1665" t="s">
        <v>1386</v>
      </c>
      <c r="G28" s="1668"/>
      <c r="I28" s="1684" t="s">
        <v>1387</v>
      </c>
      <c r="J28" s="1684"/>
      <c r="K28" s="1684" t="s">
        <v>1388</v>
      </c>
      <c r="L28" s="1684"/>
      <c r="M28" s="1684" t="s">
        <v>1389</v>
      </c>
      <c r="N28" s="1684"/>
    </row>
    <row r="29" ht="15" customHeight="1" spans="2:14">
      <c r="B29" s="1665" t="s">
        <v>1390</v>
      </c>
      <c r="C29" s="1666"/>
      <c r="D29" s="1665" t="s">
        <v>1391</v>
      </c>
      <c r="E29" s="1667"/>
      <c r="F29" s="1665" t="s">
        <v>1392</v>
      </c>
      <c r="G29" s="1668"/>
      <c r="I29" s="1684" t="s">
        <v>1393</v>
      </c>
      <c r="J29" s="1684"/>
      <c r="K29" s="1684" t="s">
        <v>1394</v>
      </c>
      <c r="L29" s="1684"/>
      <c r="M29" s="1684" t="s">
        <v>1395</v>
      </c>
      <c r="N29" s="1684"/>
    </row>
    <row r="30" ht="15" customHeight="1" spans="2:14">
      <c r="B30" s="1665" t="s">
        <v>1396</v>
      </c>
      <c r="C30" s="1666"/>
      <c r="D30" s="1665" t="s">
        <v>1397</v>
      </c>
      <c r="E30" s="1669"/>
      <c r="F30" s="1665" t="s">
        <v>1398</v>
      </c>
      <c r="G30" s="1668"/>
      <c r="I30" s="1684" t="s">
        <v>1399</v>
      </c>
      <c r="J30" s="1684"/>
      <c r="K30" s="1684" t="s">
        <v>1400</v>
      </c>
      <c r="L30" s="1684"/>
      <c r="M30" s="1684" t="s">
        <v>1401</v>
      </c>
      <c r="N30" s="1684"/>
    </row>
    <row r="31" ht="15" customHeight="1" spans="2:14">
      <c r="B31" s="1665" t="s">
        <v>1402</v>
      </c>
      <c r="C31" s="1666"/>
      <c r="D31" s="1665" t="s">
        <v>1403</v>
      </c>
      <c r="E31" s="1669"/>
      <c r="F31" s="1665" t="s">
        <v>1404</v>
      </c>
      <c r="G31" s="1668"/>
      <c r="I31" s="1684" t="s">
        <v>40</v>
      </c>
      <c r="J31" s="1684"/>
      <c r="K31" s="1684" t="s">
        <v>1405</v>
      </c>
      <c r="L31" s="1684"/>
      <c r="M31" s="1684" t="s">
        <v>1406</v>
      </c>
      <c r="N31" s="1684"/>
    </row>
    <row r="32" ht="15" customHeight="1" spans="2:14">
      <c r="B32" s="1665" t="s">
        <v>1407</v>
      </c>
      <c r="C32" s="1666"/>
      <c r="D32" s="1665" t="s">
        <v>1408</v>
      </c>
      <c r="E32" s="1667"/>
      <c r="F32" s="1665" t="s">
        <v>1409</v>
      </c>
      <c r="G32" s="1668"/>
      <c r="I32" s="1684" t="s">
        <v>1410</v>
      </c>
      <c r="J32" s="1684"/>
      <c r="K32" s="1684" t="s">
        <v>1411</v>
      </c>
      <c r="L32" s="1684"/>
      <c r="M32" s="1684" t="s">
        <v>1412</v>
      </c>
      <c r="N32" s="1684"/>
    </row>
    <row r="33" ht="15" customHeight="1" spans="2:14">
      <c r="B33" s="1665" t="s">
        <v>1413</v>
      </c>
      <c r="C33" s="1666"/>
      <c r="D33" s="1665" t="s">
        <v>1414</v>
      </c>
      <c r="E33" s="1667"/>
      <c r="F33" s="1665" t="s">
        <v>1415</v>
      </c>
      <c r="G33" s="1669"/>
      <c r="I33" s="1684" t="s">
        <v>1416</v>
      </c>
      <c r="J33" s="1684"/>
      <c r="K33" s="1684" t="s">
        <v>1417</v>
      </c>
      <c r="L33" s="1684"/>
      <c r="M33" s="1684" t="s">
        <v>1418</v>
      </c>
      <c r="N33" s="1684"/>
    </row>
    <row r="34" ht="15" customHeight="1" spans="2:14">
      <c r="B34" s="1665" t="s">
        <v>1419</v>
      </c>
      <c r="C34" s="1666"/>
      <c r="D34" s="1665" t="s">
        <v>1420</v>
      </c>
      <c r="E34" s="1667"/>
      <c r="F34" s="1670" t="s">
        <v>1421</v>
      </c>
      <c r="G34" s="1668"/>
      <c r="I34" s="1684" t="s">
        <v>1422</v>
      </c>
      <c r="J34" s="1684"/>
      <c r="K34" s="1684" t="s">
        <v>1423</v>
      </c>
      <c r="L34" s="1684"/>
      <c r="M34" s="1684" t="s">
        <v>1424</v>
      </c>
      <c r="N34" s="1684"/>
    </row>
    <row r="35" ht="15" customHeight="1" spans="2:14">
      <c r="B35" s="1665" t="s">
        <v>1425</v>
      </c>
      <c r="C35" s="1666"/>
      <c r="D35" s="1665" t="s">
        <v>1426</v>
      </c>
      <c r="E35" s="1667"/>
      <c r="F35" s="1671" t="s">
        <v>1427</v>
      </c>
      <c r="G35" s="1668"/>
      <c r="I35" s="1685" t="s">
        <v>1428</v>
      </c>
      <c r="J35" s="1684"/>
      <c r="K35" s="1684" t="s">
        <v>1429</v>
      </c>
      <c r="L35" s="1684"/>
      <c r="M35" s="1684" t="s">
        <v>1430</v>
      </c>
      <c r="N35" s="1684"/>
    </row>
    <row r="36" ht="15" customHeight="1" spans="2:14">
      <c r="B36" s="1665" t="s">
        <v>1431</v>
      </c>
      <c r="C36" s="1666"/>
      <c r="D36" s="1665" t="s">
        <v>1432</v>
      </c>
      <c r="E36" s="1667"/>
      <c r="F36" s="1665" t="s">
        <v>1433</v>
      </c>
      <c r="G36" s="1668"/>
      <c r="I36" s="1685" t="s">
        <v>1434</v>
      </c>
      <c r="J36" s="1684"/>
      <c r="K36" s="1684" t="s">
        <v>1435</v>
      </c>
      <c r="L36" s="1684"/>
      <c r="M36" s="1685" t="s">
        <v>1436</v>
      </c>
      <c r="N36" s="1684"/>
    </row>
    <row r="37" ht="15" customHeight="1" spans="2:14">
      <c r="B37" s="1665" t="s">
        <v>1437</v>
      </c>
      <c r="C37" s="1666"/>
      <c r="D37" s="1665" t="s">
        <v>1438</v>
      </c>
      <c r="E37" s="1667"/>
      <c r="F37" s="1672" t="s">
        <v>1439</v>
      </c>
      <c r="G37" s="1673"/>
      <c r="I37" s="1685" t="s">
        <v>1440</v>
      </c>
      <c r="J37" s="1684"/>
      <c r="K37" s="1684" t="s">
        <v>1441</v>
      </c>
      <c r="L37" s="1684"/>
      <c r="M37" s="1685" t="s">
        <v>1442</v>
      </c>
      <c r="N37" s="1684"/>
    </row>
    <row r="38" ht="15" customHeight="1" spans="2:14">
      <c r="B38" s="1665" t="s">
        <v>1443</v>
      </c>
      <c r="C38" s="1666"/>
      <c r="D38" s="1665" t="s">
        <v>1444</v>
      </c>
      <c r="E38" s="1667"/>
      <c r="F38" s="1674"/>
      <c r="G38" s="1675"/>
      <c r="I38" s="1684" t="s">
        <v>1445</v>
      </c>
      <c r="J38" s="1684"/>
      <c r="K38" s="1683" t="s">
        <v>524</v>
      </c>
      <c r="L38" s="1683"/>
      <c r="M38" s="1686" t="s">
        <v>1446</v>
      </c>
      <c r="N38" s="1687"/>
    </row>
    <row r="39" spans="9:14">
      <c r="I39" s="1684" t="s">
        <v>1447</v>
      </c>
      <c r="J39" s="1684"/>
      <c r="K39" s="1688" t="s">
        <v>1448</v>
      </c>
      <c r="L39" s="1683"/>
      <c r="M39" s="1689"/>
      <c r="N39" s="1690"/>
    </row>
    <row r="42" ht="15" spans="2:7">
      <c r="B42" s="1664" t="s">
        <v>1449</v>
      </c>
      <c r="C42" s="1664"/>
      <c r="D42" s="1664"/>
      <c r="E42" s="1664"/>
      <c r="F42" s="1664"/>
      <c r="G42" s="1664"/>
    </row>
    <row r="43" spans="2:7">
      <c r="B43" s="1676" t="s">
        <v>1450</v>
      </c>
      <c r="C43" s="1676" t="s">
        <v>1451</v>
      </c>
      <c r="D43" s="1676" t="s">
        <v>1452</v>
      </c>
      <c r="E43" s="1676" t="s">
        <v>1453</v>
      </c>
      <c r="F43" s="1676" t="s">
        <v>1454</v>
      </c>
      <c r="G43" s="1676" t="s">
        <v>113</v>
      </c>
    </row>
    <row r="44" ht="57.6" spans="2:7">
      <c r="B44" s="1668"/>
      <c r="C44" s="1668" t="s">
        <v>1455</v>
      </c>
      <c r="D44" s="1677" t="s">
        <v>1456</v>
      </c>
      <c r="E44" s="1677" t="s">
        <v>1457</v>
      </c>
      <c r="F44" s="1668" t="s">
        <v>1458</v>
      </c>
      <c r="G44" s="1668"/>
    </row>
    <row r="45" spans="2:7">
      <c r="B45" s="1668"/>
      <c r="C45" s="1668" t="s">
        <v>1459</v>
      </c>
      <c r="D45" s="1668"/>
      <c r="E45" s="1668"/>
      <c r="F45" s="1668"/>
      <c r="G45" s="1668"/>
    </row>
    <row r="46" spans="2:7">
      <c r="B46" s="1668"/>
      <c r="C46" s="1668" t="s">
        <v>27</v>
      </c>
      <c r="D46" s="1668"/>
      <c r="E46" s="1668"/>
      <c r="F46" s="1668"/>
      <c r="G46" s="1668"/>
    </row>
    <row r="47" ht="14.25" customHeight="1" spans="2:7">
      <c r="B47" s="1668"/>
      <c r="C47" s="1668"/>
      <c r="D47" s="1668"/>
      <c r="E47" s="1668"/>
      <c r="F47" s="1668"/>
      <c r="G47" s="1668"/>
    </row>
    <row r="49" ht="15.6" spans="2:2">
      <c r="B49" s="782" t="s">
        <v>1460</v>
      </c>
    </row>
    <row r="50" ht="14.25" customHeight="1" spans="2:7">
      <c r="B50" s="1678" t="s">
        <v>1461</v>
      </c>
      <c r="C50" s="1678"/>
      <c r="D50" s="1678"/>
      <c r="E50" s="1678"/>
      <c r="F50" s="1678"/>
      <c r="G50" s="1678"/>
    </row>
    <row r="51" ht="15.6" spans="2:2">
      <c r="B51" s="782" t="s">
        <v>1462</v>
      </c>
    </row>
    <row r="54" spans="1:1">
      <c r="A54" s="351" t="s">
        <v>1463</v>
      </c>
    </row>
    <row r="58" ht="20.4" spans="3:3">
      <c r="C58" s="1679" t="s">
        <v>1464</v>
      </c>
    </row>
    <row r="59" ht="20.4" spans="3:3">
      <c r="C59" s="1679" t="s">
        <v>1465</v>
      </c>
    </row>
    <row r="60" ht="20.4" spans="3:3">
      <c r="C60" s="1679" t="s">
        <v>1466</v>
      </c>
    </row>
    <row r="61" ht="20.4" spans="3:3">
      <c r="C61" s="1679" t="s">
        <v>1467</v>
      </c>
    </row>
    <row r="62" ht="20.4" spans="3:3">
      <c r="C62" s="1679" t="s">
        <v>1468</v>
      </c>
    </row>
    <row r="63" ht="20.4" spans="3:3">
      <c r="C63" s="1679" t="s">
        <v>1469</v>
      </c>
    </row>
    <row r="64" ht="20.4" spans="3:3">
      <c r="C64" s="1679" t="s">
        <v>1470</v>
      </c>
    </row>
    <row r="69" spans="1:1">
      <c r="A69" s="351" t="s">
        <v>1471</v>
      </c>
    </row>
    <row r="70" ht="15.15"/>
    <row r="71" ht="15.9" spans="2:6">
      <c r="B71" s="1691" t="s">
        <v>1472</v>
      </c>
      <c r="C71" s="1692"/>
      <c r="D71" s="1693" t="s">
        <v>1473</v>
      </c>
      <c r="E71" s="1694" t="str">
        <f>亮度與BLU功耗!E6</f>
        <v>13.0华南向</v>
      </c>
      <c r="F71" s="1695" t="s">
        <v>1474</v>
      </c>
    </row>
    <row r="72" ht="26.25" customHeight="1" spans="2:6">
      <c r="B72" s="1696" t="s">
        <v>1475</v>
      </c>
      <c r="C72" s="1696" t="s">
        <v>1476</v>
      </c>
      <c r="D72" s="1697" t="str">
        <f>Outline_X_and_Y!D22&amp;"±"&amp;Outline_X_and_Y!D23&amp;"*"&amp;Outline_X_and_Y!L22&amp;"±"&amp;Outline_X_and_Y!L23&amp;"(W/O PCB)"&amp;CHAR(10)&amp;Outline_X_and_Y!D22&amp;"±"&amp;Outline_X_and_Y!D23&amp;"*"&amp;Outline_X_and_Y!O22&amp;"±"&amp;"(W/I FPC)"</f>
        <v>350.07±0.3*207.75±0.5(W/O PCB)
350.07±0.3*±(W/I FPC)</v>
      </c>
      <c r="E72" s="1698" t="s">
        <v>1477</v>
      </c>
      <c r="F72" s="1699"/>
    </row>
    <row r="73" ht="26.25" customHeight="1" spans="2:6">
      <c r="B73" s="1700"/>
      <c r="C73" s="1696" t="s">
        <v>1478</v>
      </c>
      <c r="D73" s="1697" t="str">
        <f>Summary!C11&amp;"t Max"</f>
        <v>2.8t Max</v>
      </c>
      <c r="E73" s="1698" t="s">
        <v>1477</v>
      </c>
      <c r="F73" s="1699"/>
    </row>
    <row r="74" ht="26.25" customHeight="1" spans="2:6">
      <c r="B74" s="1700"/>
      <c r="C74" s="1696" t="s">
        <v>1479</v>
      </c>
      <c r="D74" s="1697" t="str">
        <f>亮度與BLU功耗!E37&amp;"*"&amp;亮度與BLU功耗!E38</f>
        <v>344.22*196.3</v>
      </c>
      <c r="E74" s="1698" t="s">
        <v>1477</v>
      </c>
      <c r="F74" s="1699"/>
    </row>
    <row r="75" ht="26.25" customHeight="1" spans="2:6">
      <c r="B75" s="1701"/>
      <c r="C75" s="1702" t="s">
        <v>1480</v>
      </c>
      <c r="D75" s="1703" t="str">
        <f>Summary!C28&amp;"g Max"</f>
        <v>310g Max</v>
      </c>
      <c r="E75" s="1704" t="s">
        <v>1477</v>
      </c>
      <c r="F75" s="1705"/>
    </row>
    <row r="76" ht="26.25" customHeight="1" spans="2:6">
      <c r="B76" s="1696" t="s">
        <v>1044</v>
      </c>
      <c r="C76" s="1696" t="s">
        <v>1481</v>
      </c>
      <c r="D76" s="1697" t="str">
        <f>Summary!C33&amp;"nit Typ"</f>
        <v>300nit Typ</v>
      </c>
      <c r="E76" s="1698" t="s">
        <v>1477</v>
      </c>
      <c r="F76" s="1699"/>
    </row>
    <row r="77" ht="26.25" customHeight="1" spans="2:6">
      <c r="B77" s="1700"/>
      <c r="C77" s="1702" t="s">
        <v>1482</v>
      </c>
      <c r="D77" s="1703"/>
      <c r="E77" s="1704"/>
      <c r="F77" s="1705"/>
    </row>
    <row r="78" ht="26.25" customHeight="1" spans="2:6">
      <c r="B78" s="1700"/>
      <c r="C78" s="1702" t="s">
        <v>714</v>
      </c>
      <c r="D78" s="1703" t="str">
        <f>Summary!C34</f>
        <v>sRGB100%</v>
      </c>
      <c r="E78" s="1704" t="s">
        <v>1477</v>
      </c>
      <c r="F78" s="1705"/>
    </row>
    <row r="79" ht="26.25" customHeight="1" spans="2:6">
      <c r="B79" s="1701"/>
      <c r="C79" s="1702" t="s">
        <v>1483</v>
      </c>
      <c r="D79" s="1703"/>
      <c r="E79" s="1704"/>
      <c r="F79" s="1705"/>
    </row>
    <row r="80" ht="26.25" customHeight="1" spans="2:6">
      <c r="B80" s="1702" t="s">
        <v>1484</v>
      </c>
      <c r="C80" s="1702" t="s">
        <v>1485</v>
      </c>
      <c r="D80" s="1703" t="str">
        <f>Summary!C35&amp;"W Max"</f>
        <v>3.62W Max</v>
      </c>
      <c r="E80" s="1706" t="s">
        <v>1477</v>
      </c>
      <c r="F80" s="1705"/>
    </row>
    <row r="84" spans="1:1">
      <c r="A84" s="351" t="s">
        <v>1486</v>
      </c>
    </row>
    <row r="108" spans="1:1">
      <c r="A108" s="351" t="s">
        <v>1487</v>
      </c>
    </row>
    <row r="125" spans="1:1">
      <c r="A125" s="351" t="s">
        <v>1488</v>
      </c>
    </row>
    <row r="127" ht="15.15"/>
    <row r="128" ht="15.9" spans="5:8">
      <c r="E128" s="1702" t="s">
        <v>1489</v>
      </c>
      <c r="F128" s="1693" t="s">
        <v>1490</v>
      </c>
      <c r="G128" s="1694" t="str">
        <f>亮度與BLU功耗!E6</f>
        <v>13.0华南向</v>
      </c>
      <c r="H128" s="1695" t="s">
        <v>113</v>
      </c>
    </row>
    <row r="129" ht="17.25" customHeight="1" spans="5:8">
      <c r="E129" s="1702" t="s">
        <v>1491</v>
      </c>
      <c r="F129" s="1707"/>
      <c r="G129" s="1708">
        <f>'Thickness &amp; Weight'!C5</f>
        <v>0.119</v>
      </c>
      <c r="H129" s="1709"/>
    </row>
    <row r="130" ht="17.25" customHeight="1" spans="5:8">
      <c r="E130" s="1702" t="s">
        <v>1492</v>
      </c>
      <c r="F130" s="1707"/>
      <c r="G130" s="1708">
        <f>'Thickness &amp; Weight'!C6</f>
        <v>0.3</v>
      </c>
      <c r="H130" s="1709"/>
    </row>
    <row r="131" ht="17.25" customHeight="1" spans="5:8">
      <c r="E131" s="1702" t="s">
        <v>1493</v>
      </c>
      <c r="F131" s="1707"/>
      <c r="G131" s="1708">
        <f>'Thickness &amp; Weight'!C7</f>
        <v>0.3</v>
      </c>
      <c r="H131" s="1709"/>
    </row>
    <row r="132" ht="17.25" customHeight="1" spans="5:8">
      <c r="E132" s="1702" t="s">
        <v>1494</v>
      </c>
      <c r="F132" s="1707"/>
      <c r="G132" s="1708">
        <f>'Thickness &amp; Weight'!C8</f>
        <v>0.117</v>
      </c>
      <c r="H132" s="1709"/>
    </row>
    <row r="133" ht="17.25" customHeight="1" spans="5:8">
      <c r="E133" s="1702" t="s">
        <v>1495</v>
      </c>
      <c r="F133" s="1707"/>
      <c r="G133" s="1708">
        <f>'Thickness &amp; Weight'!C9</f>
        <v>0.07</v>
      </c>
      <c r="H133" s="1709"/>
    </row>
    <row r="134" ht="17.25" customHeight="1" spans="5:8">
      <c r="E134" s="1702" t="s">
        <v>1496</v>
      </c>
      <c r="F134" s="1707"/>
      <c r="G134" s="1708">
        <f>'Thickness &amp; Weight'!C10</f>
        <v>0.115</v>
      </c>
      <c r="H134" s="1709"/>
    </row>
    <row r="135" ht="17.25" customHeight="1" spans="5:8">
      <c r="E135" s="1702" t="s">
        <v>1497</v>
      </c>
      <c r="F135" s="1707"/>
      <c r="G135" s="1708">
        <f>'Thickness &amp; Weight'!C11</f>
        <v>0.157</v>
      </c>
      <c r="H135" s="1709"/>
    </row>
    <row r="136" ht="17.25" customHeight="1" spans="5:8">
      <c r="E136" s="1702" t="s">
        <v>1498</v>
      </c>
      <c r="F136" s="1707"/>
      <c r="G136" s="1708">
        <f>'Thickness &amp; Weight'!C12</f>
        <v>0.152</v>
      </c>
      <c r="H136" s="1709"/>
    </row>
    <row r="137" ht="17.25" customHeight="1" spans="5:8">
      <c r="E137" s="1702" t="s">
        <v>1499</v>
      </c>
      <c r="F137" s="1707"/>
      <c r="G137" s="1708">
        <f>'Thickness &amp; Weight'!C13</f>
        <v>0.058</v>
      </c>
      <c r="H137" s="1709"/>
    </row>
    <row r="138" ht="17.25" customHeight="1" spans="5:8">
      <c r="E138" s="1702" t="s">
        <v>1500</v>
      </c>
      <c r="F138" s="1707"/>
      <c r="G138" s="1708">
        <f>'Thickness &amp; Weight'!C14</f>
        <v>0.5</v>
      </c>
      <c r="H138" s="1709"/>
    </row>
    <row r="139" ht="17.25" customHeight="1" spans="5:8">
      <c r="E139" s="1702" t="s">
        <v>1501</v>
      </c>
      <c r="F139" s="1707"/>
      <c r="G139" s="1708">
        <f>'Thickness &amp; Weight'!C15</f>
        <v>0.16</v>
      </c>
      <c r="H139" s="1709"/>
    </row>
    <row r="140" ht="17.25" customHeight="1" spans="5:8">
      <c r="E140" s="1702" t="s">
        <v>75</v>
      </c>
      <c r="F140" s="1707"/>
      <c r="G140" s="1708">
        <f>'Thickness &amp; Weight'!C17</f>
        <v>0.25</v>
      </c>
      <c r="H140" s="1709"/>
    </row>
    <row r="141" ht="17.25" customHeight="1" spans="5:8">
      <c r="E141" s="1702" t="s">
        <v>1089</v>
      </c>
      <c r="F141" s="1707"/>
      <c r="G141" s="1708">
        <f>'Thickness &amp; Weight'!C19</f>
        <v>0.05</v>
      </c>
      <c r="H141" s="1709"/>
    </row>
    <row r="142" ht="17.25" customHeight="1" spans="5:8">
      <c r="E142" s="1702" t="s">
        <v>1502</v>
      </c>
      <c r="F142" s="1707"/>
      <c r="G142" s="1708">
        <f>'Thickness &amp; Weight'!C16</f>
        <v>0.03</v>
      </c>
      <c r="H142" s="1709"/>
    </row>
    <row r="143" ht="17.25" customHeight="1" spans="5:8">
      <c r="E143" s="1702" t="s">
        <v>1503</v>
      </c>
      <c r="F143" s="1707"/>
      <c r="G143" s="1708">
        <f>'Thickness &amp; Weight'!C20</f>
        <v>0.075</v>
      </c>
      <c r="H143" s="1709"/>
    </row>
    <row r="144" ht="17.25" customHeight="1" spans="5:8">
      <c r="E144" s="1702" t="s">
        <v>1504</v>
      </c>
      <c r="F144" s="1707"/>
      <c r="G144" s="1710" t="str">
        <f>'Thickness &amp; Weight'!C22&amp;"Typ. "&amp;'Thickness &amp; Weight'!C25&amp;"Max"</f>
        <v>2.378Typ. 2.8Max</v>
      </c>
      <c r="H144" s="1709"/>
    </row>
    <row r="145" ht="17.25" customHeight="1" spans="7:9">
      <c r="G145" s="1711"/>
      <c r="H145" s="1711"/>
      <c r="I145" s="1711"/>
    </row>
    <row r="146" ht="17.25" customHeight="1" spans="7:9">
      <c r="G146" s="1711"/>
      <c r="H146" s="1711"/>
      <c r="I146" s="1711"/>
    </row>
    <row r="147" ht="17.25" customHeight="1" spans="7:9">
      <c r="G147" s="1711"/>
      <c r="H147" s="1711"/>
      <c r="I147" s="1711"/>
    </row>
    <row r="148" spans="1:1">
      <c r="A148" s="351" t="s">
        <v>1505</v>
      </c>
    </row>
    <row r="162" ht="15.15"/>
    <row r="163" ht="15.15" spans="3:5">
      <c r="C163" s="1712" t="s">
        <v>1506</v>
      </c>
      <c r="D163" s="1713" t="s">
        <v>1489</v>
      </c>
      <c r="E163" s="1714" t="str">
        <f>亮度與BLU功耗!E6</f>
        <v>13.0华南向</v>
      </c>
    </row>
    <row r="164" spans="3:5">
      <c r="C164" s="1712">
        <v>1</v>
      </c>
      <c r="D164" s="1713" t="s">
        <v>1507</v>
      </c>
      <c r="E164" s="1715">
        <f>'Thickness &amp; Weight'!L5</f>
        <v>2.328</v>
      </c>
    </row>
    <row r="165" spans="3:5">
      <c r="C165" s="1712" t="s">
        <v>7</v>
      </c>
      <c r="D165" s="1713" t="s">
        <v>1089</v>
      </c>
      <c r="E165" s="1715">
        <f>'Thickness &amp; Weight'!C19*-1</f>
        <v>-0.05</v>
      </c>
    </row>
    <row r="166" spans="3:5">
      <c r="C166" s="1712">
        <v>2</v>
      </c>
      <c r="D166" s="1713" t="s">
        <v>1508</v>
      </c>
      <c r="E166" s="1715">
        <f>'Thickness &amp; Weight'!L6</f>
        <v>0.1</v>
      </c>
    </row>
    <row r="167" spans="3:5">
      <c r="C167" s="1712">
        <v>3</v>
      </c>
      <c r="D167" s="1713" t="s">
        <v>375</v>
      </c>
      <c r="E167" s="1715">
        <f>'Thickness &amp; Weight'!L7</f>
        <v>0.6</v>
      </c>
    </row>
    <row r="168" spans="3:5">
      <c r="C168" s="1712">
        <v>4</v>
      </c>
      <c r="D168" s="1716" t="s">
        <v>1509</v>
      </c>
      <c r="E168" s="1715">
        <f>'Thickness &amp; Weight'!L9+'Thickness &amp; Weight'!L8</f>
        <v>1.05</v>
      </c>
    </row>
    <row r="169" spans="3:5">
      <c r="C169" s="1712">
        <v>5</v>
      </c>
      <c r="D169" s="1713" t="s">
        <v>1089</v>
      </c>
      <c r="E169" s="1715">
        <f>'Thickness &amp; Weight'!L11</f>
        <v>0.085</v>
      </c>
    </row>
    <row r="170" ht="15.15" spans="3:5">
      <c r="C170" s="1717" t="s">
        <v>1510</v>
      </c>
      <c r="D170" s="1718"/>
      <c r="E170" s="1719" t="str">
        <f>'Thickness &amp; Weight'!L13&amp;"Typ. "&amp;'Thickness &amp; Weight'!L16&amp;"Max"</f>
        <v>4.163Typ. 4.5Max</v>
      </c>
    </row>
    <row r="171" ht="15.15"/>
    <row r="173" spans="1:1">
      <c r="A173" s="351" t="s">
        <v>1511</v>
      </c>
    </row>
    <row r="177" ht="15.15"/>
    <row r="178" ht="15.15" spans="6:9">
      <c r="F178" s="1720" t="s">
        <v>1489</v>
      </c>
      <c r="G178" s="1720" t="s">
        <v>39</v>
      </c>
      <c r="H178" s="1720" t="s">
        <v>22</v>
      </c>
      <c r="I178" s="1720" t="s">
        <v>113</v>
      </c>
    </row>
    <row r="179" ht="15.15" spans="6:9">
      <c r="F179" s="1720" t="s">
        <v>1512</v>
      </c>
      <c r="G179" s="1721">
        <f>亮度與BLU功耗!E38</f>
        <v>196.3</v>
      </c>
      <c r="H179" s="1721">
        <f>亮度與BLU功耗!E37</f>
        <v>344.22</v>
      </c>
      <c r="I179" s="1721"/>
    </row>
    <row r="180" ht="15.15" spans="6:9">
      <c r="F180" s="1720" t="s">
        <v>1513</v>
      </c>
      <c r="G180" s="1721">
        <f>亮度與BLU功耗!E38+Outline_X_and_Y!L10+Outline_X_and_Y!L13+Outline_X_and_Y!L14</f>
        <v>206.3</v>
      </c>
      <c r="H180" s="1721">
        <f>Outline_X_and_Y!D11+Outline_X_and_Y!D10+Outline_X_and_Y!D13</f>
        <v>348.52</v>
      </c>
      <c r="I180" s="1721"/>
    </row>
    <row r="181" ht="15.15" spans="6:9">
      <c r="F181" s="1720" t="s">
        <v>1514</v>
      </c>
      <c r="G181" s="1721">
        <f>Outline_X_and_Y!L22</f>
        <v>207.75</v>
      </c>
      <c r="H181" s="1721">
        <f>Outline_X_and_Y!D22</f>
        <v>350.07</v>
      </c>
      <c r="I181" s="1721"/>
    </row>
    <row r="183" ht="15.15"/>
    <row r="184" ht="15.15" spans="2:9">
      <c r="B184" s="1722" t="s">
        <v>1515</v>
      </c>
      <c r="C184" s="1723"/>
      <c r="D184" s="1724"/>
      <c r="E184" s="1725" t="s">
        <v>1516</v>
      </c>
      <c r="F184" s="1725" t="s">
        <v>1517</v>
      </c>
      <c r="G184" s="1725" t="s">
        <v>1518</v>
      </c>
      <c r="H184" s="1725" t="s">
        <v>1519</v>
      </c>
      <c r="I184" s="1725" t="s">
        <v>113</v>
      </c>
    </row>
    <row r="185" ht="15.15" spans="2:9">
      <c r="B185" s="1725" t="s">
        <v>340</v>
      </c>
      <c r="C185" s="1725" t="s">
        <v>1520</v>
      </c>
      <c r="D185" s="1725" t="s">
        <v>1521</v>
      </c>
      <c r="E185" s="1721">
        <f>Outline_X_and_Y!D10</f>
        <v>2</v>
      </c>
      <c r="F185" s="1721">
        <f>Outline_X_and_Y!D13</f>
        <v>2.3</v>
      </c>
      <c r="G185" s="1721">
        <f>Outline_X_and_Y!L10</f>
        <v>2.8</v>
      </c>
      <c r="H185" s="1721">
        <f>Outline_X_and_Y!L13+Outline_X_and_Y!L14</f>
        <v>7.2</v>
      </c>
      <c r="I185" s="1721"/>
    </row>
    <row r="186" ht="15.15" spans="2:9">
      <c r="B186" s="1726" t="s">
        <v>1522</v>
      </c>
      <c r="C186" s="1725" t="s">
        <v>1523</v>
      </c>
      <c r="D186" s="1725" t="s">
        <v>1524</v>
      </c>
      <c r="E186" s="1721">
        <f>Outline_X_and_Y!D8</f>
        <v>0.15</v>
      </c>
      <c r="F186" s="1721">
        <f>E186</f>
        <v>0.15</v>
      </c>
      <c r="G186" s="1721">
        <f>E186</f>
        <v>0.15</v>
      </c>
      <c r="H186" s="1721">
        <f>E186</f>
        <v>0.15</v>
      </c>
      <c r="I186" s="1721"/>
    </row>
    <row r="187" ht="15.15" spans="2:9">
      <c r="B187" s="1727"/>
      <c r="C187" s="1725" t="s">
        <v>1525</v>
      </c>
      <c r="D187" s="1725" t="s">
        <v>1526</v>
      </c>
      <c r="E187" s="1721">
        <f>Outline_X_and_Y!D7</f>
        <v>0.5</v>
      </c>
      <c r="F187" s="1721">
        <f>Outline_X_and_Y!D16</f>
        <v>-0.2</v>
      </c>
      <c r="G187" s="1721">
        <f>Outline_X_and_Y!L7</f>
        <v>-0.35</v>
      </c>
      <c r="H187" s="1721">
        <f>Outline_X_and_Y!L16-Outline_X_and_Y!D6</f>
        <v>0.8</v>
      </c>
      <c r="I187" s="1721"/>
    </row>
    <row r="188" ht="15.15" spans="2:9">
      <c r="B188" s="1727"/>
      <c r="C188" s="1725" t="s">
        <v>1527</v>
      </c>
      <c r="D188" s="1725" t="s">
        <v>1528</v>
      </c>
      <c r="E188" s="1721">
        <f>Outline_X_and_Y!D6</f>
        <v>0.05</v>
      </c>
      <c r="F188" s="1721">
        <f>E188</f>
        <v>0.05</v>
      </c>
      <c r="G188" s="1721">
        <f>E188</f>
        <v>0.05</v>
      </c>
      <c r="H188" s="1721">
        <f>E188</f>
        <v>0.05</v>
      </c>
      <c r="I188" s="1721"/>
    </row>
    <row r="189" ht="15.15" spans="2:9">
      <c r="B189" s="1727"/>
      <c r="C189" s="1725" t="s">
        <v>1529</v>
      </c>
      <c r="D189" s="1725" t="s">
        <v>1530</v>
      </c>
      <c r="E189" s="1721">
        <f>Outline_X_and_Y!D5</f>
        <v>0.25</v>
      </c>
      <c r="F189" s="1721">
        <f>Outline_X_and_Y!D18</f>
        <v>0.5</v>
      </c>
      <c r="G189" s="1721">
        <f>Outline_X_and_Y!L5</f>
        <v>0.25</v>
      </c>
      <c r="H189" s="1721">
        <f>Outline_X_and_Y!L17</f>
        <v>0.25</v>
      </c>
      <c r="I189" s="1721"/>
    </row>
    <row r="190" ht="15.15" spans="2:9">
      <c r="B190" s="1727"/>
      <c r="C190" s="1725" t="s">
        <v>1531</v>
      </c>
      <c r="D190" s="1725" t="s">
        <v>1532</v>
      </c>
      <c r="E190" s="1721">
        <f>Outline_X_and_Y!D4</f>
        <v>0.05</v>
      </c>
      <c r="F190" s="1721">
        <f>E190</f>
        <v>0.05</v>
      </c>
      <c r="G190" s="1721">
        <f>E190</f>
        <v>0.05</v>
      </c>
      <c r="H190" s="1721">
        <f>E190</f>
        <v>0.05</v>
      </c>
      <c r="I190" s="1721"/>
    </row>
    <row r="191" ht="15.15" spans="2:9">
      <c r="B191" s="1728"/>
      <c r="C191" s="1725" t="s">
        <v>1533</v>
      </c>
      <c r="D191" s="1725" t="s">
        <v>1534</v>
      </c>
      <c r="E191" s="1721">
        <f>Outline_X_and_Y!E4</f>
        <v>3</v>
      </c>
      <c r="F191" s="1721">
        <f>Outline_X_and_Y!E13</f>
        <v>2.85</v>
      </c>
      <c r="G191" s="1721">
        <f>Outline_X_and_Y!M4</f>
        <v>2.95</v>
      </c>
      <c r="H191" s="1721">
        <f>Outline_X_and_Y!M13</f>
        <v>8.5</v>
      </c>
      <c r="I191" s="1721"/>
    </row>
    <row r="195" spans="1:1">
      <c r="A195" s="351" t="s">
        <v>1535</v>
      </c>
    </row>
    <row r="197" ht="18" customHeight="1" spans="2:8">
      <c r="B197" s="1729" t="s">
        <v>1536</v>
      </c>
      <c r="C197" s="1730"/>
      <c r="D197" s="1731" t="s">
        <v>113</v>
      </c>
      <c r="E197" s="1732"/>
      <c r="F197" s="1729" t="s">
        <v>1537</v>
      </c>
      <c r="G197" s="1730"/>
      <c r="H197" s="1731" t="s">
        <v>113</v>
      </c>
    </row>
    <row r="198" ht="18" customHeight="1" spans="2:8">
      <c r="B198" s="1733" t="s">
        <v>1215</v>
      </c>
      <c r="C198" s="1734">
        <f>'Cell Tape 貼覆面積'!C6</f>
        <v>1</v>
      </c>
      <c r="D198" s="1735" t="s">
        <v>1538</v>
      </c>
      <c r="E198" s="1732"/>
      <c r="F198" s="1733" t="s">
        <v>1217</v>
      </c>
      <c r="G198" s="1734">
        <f>'Cell Tape 貼覆面積'!G6</f>
        <v>1</v>
      </c>
      <c r="H198" s="1736" t="s">
        <v>1539</v>
      </c>
    </row>
    <row r="199" ht="18" customHeight="1" spans="2:8">
      <c r="B199" s="1737" t="s">
        <v>1540</v>
      </c>
      <c r="C199" s="1731">
        <f>'Cell Tape 貼覆面積'!C7</f>
        <v>1</v>
      </c>
      <c r="D199" s="1738"/>
      <c r="E199" s="1732"/>
      <c r="F199" s="1737" t="s">
        <v>1541</v>
      </c>
      <c r="G199" s="1731">
        <f>'Cell Tape 貼覆面積'!G7</f>
        <v>1.8</v>
      </c>
      <c r="H199" s="1738"/>
    </row>
    <row r="200" ht="18" customHeight="1" spans="2:8">
      <c r="B200" s="1739" t="s">
        <v>1542</v>
      </c>
      <c r="C200" s="1734">
        <f>'Cell Tape 貼覆面積'!C8</f>
        <v>0.6</v>
      </c>
      <c r="D200" s="1740" t="s">
        <v>1224</v>
      </c>
      <c r="E200" s="1732"/>
      <c r="F200" s="1739" t="s">
        <v>1543</v>
      </c>
      <c r="G200" s="1734">
        <f>'Cell Tape 貼覆面積'!G8</f>
        <v>0.6</v>
      </c>
      <c r="H200" s="1740" t="s">
        <v>1224</v>
      </c>
    </row>
    <row r="201" ht="18" customHeight="1" spans="2:8">
      <c r="B201" s="1739" t="s">
        <v>1544</v>
      </c>
      <c r="C201" s="1741">
        <f>'Cell Tape 貼覆面積'!C9</f>
        <v>0</v>
      </c>
      <c r="D201" s="1740" t="s">
        <v>1228</v>
      </c>
      <c r="E201" s="1732"/>
      <c r="F201" s="1739" t="s">
        <v>1545</v>
      </c>
      <c r="G201" s="1741">
        <f>'Cell Tape 貼覆面積'!G9</f>
        <v>0</v>
      </c>
      <c r="H201" s="1740" t="s">
        <v>1228</v>
      </c>
    </row>
    <row r="202" ht="18" customHeight="1" spans="2:8">
      <c r="B202" s="1739" t="s">
        <v>1546</v>
      </c>
      <c r="C202" s="1734" t="str">
        <f>'Cell Tape 貼覆面積'!C10</f>
        <v>双铝 </v>
      </c>
      <c r="D202" s="1738"/>
      <c r="E202" s="1732"/>
      <c r="F202" s="1739" t="s">
        <v>1547</v>
      </c>
      <c r="G202" s="1734" t="str">
        <f>'Cell Tape 貼覆面積'!G10</f>
        <v>双铝 </v>
      </c>
      <c r="H202" s="1738"/>
    </row>
    <row r="203" ht="18" customHeight="1" spans="2:8">
      <c r="B203" s="1742"/>
      <c r="C203" s="1742"/>
      <c r="D203" s="1742"/>
      <c r="E203" s="1743"/>
      <c r="F203" s="1742"/>
      <c r="G203" s="1742"/>
      <c r="H203" s="1742"/>
    </row>
    <row r="204" ht="18" customHeight="1" spans="2:8">
      <c r="B204" s="1733" t="s">
        <v>1234</v>
      </c>
      <c r="C204" s="1734">
        <f>'Cell Tape 貼覆面積'!C12</f>
        <v>1</v>
      </c>
      <c r="D204" s="1735" t="s">
        <v>1538</v>
      </c>
      <c r="E204" s="1732"/>
      <c r="F204" s="1733" t="s">
        <v>1235</v>
      </c>
      <c r="G204" s="1734">
        <f>'Cell Tape 貼覆面積'!G12</f>
        <v>1.8</v>
      </c>
      <c r="H204" s="1736" t="s">
        <v>1539</v>
      </c>
    </row>
    <row r="205" ht="18" customHeight="1" spans="2:8">
      <c r="B205" s="1737" t="s">
        <v>1548</v>
      </c>
      <c r="C205" s="1731">
        <f>'Cell Tape 貼覆面積'!C13</f>
        <v>1.3</v>
      </c>
      <c r="D205" s="1738"/>
      <c r="E205" s="1732"/>
      <c r="F205" s="1737" t="s">
        <v>1549</v>
      </c>
      <c r="G205" s="1731">
        <f>'Cell Tape 貼覆面積'!G13</f>
        <v>1.4</v>
      </c>
      <c r="H205" s="1738"/>
    </row>
    <row r="206" ht="18" customHeight="1" spans="2:8">
      <c r="B206" s="1739" t="s">
        <v>1550</v>
      </c>
      <c r="C206" s="1734">
        <f>'Cell Tape 貼覆面積'!C14</f>
        <v>0.6</v>
      </c>
      <c r="D206" s="1740" t="s">
        <v>1224</v>
      </c>
      <c r="E206" s="1732"/>
      <c r="F206" s="1739" t="s">
        <v>1543</v>
      </c>
      <c r="G206" s="1734">
        <f>'Cell Tape 貼覆面積'!G14</f>
        <v>1.2</v>
      </c>
      <c r="H206" s="1740" t="s">
        <v>1224</v>
      </c>
    </row>
    <row r="207" ht="18" customHeight="1" spans="2:8">
      <c r="B207" s="1739" t="s">
        <v>1551</v>
      </c>
      <c r="C207" s="1741">
        <f>'Cell Tape 貼覆面積'!C15</f>
        <v>0</v>
      </c>
      <c r="D207" s="1740" t="s">
        <v>1228</v>
      </c>
      <c r="E207" s="1732"/>
      <c r="F207" s="1739" t="s">
        <v>1545</v>
      </c>
      <c r="G207" s="1741">
        <f>'Cell Tape 貼覆面積'!G15</f>
        <v>0</v>
      </c>
      <c r="H207" s="1740" t="s">
        <v>1228</v>
      </c>
    </row>
    <row r="208" ht="18" customHeight="1" spans="2:8">
      <c r="B208" s="1739" t="s">
        <v>1552</v>
      </c>
      <c r="C208" s="1734" t="str">
        <f>'Cell Tape 貼覆面積'!C16</f>
        <v>双铝 </v>
      </c>
      <c r="D208" s="1738"/>
      <c r="E208" s="1732"/>
      <c r="F208" s="1739" t="s">
        <v>1553</v>
      </c>
      <c r="G208" s="1734" t="str">
        <f>'Cell Tape 貼覆面積'!G16</f>
        <v>双铝 </v>
      </c>
      <c r="H208" s="1738"/>
    </row>
    <row r="211" spans="2:3">
      <c r="B211" s="1735" t="s">
        <v>1174</v>
      </c>
      <c r="C211" s="1744">
        <f>'Cell Tape 貼覆面積'!K4</f>
        <v>45</v>
      </c>
    </row>
    <row r="212" spans="2:3">
      <c r="B212" s="1735" t="s">
        <v>1214</v>
      </c>
      <c r="C212" s="1744">
        <f>'Cell Tape 貼覆面積'!K5</f>
        <v>0.2</v>
      </c>
    </row>
    <row r="213" spans="2:3">
      <c r="B213" s="1735" t="s">
        <v>1219</v>
      </c>
      <c r="C213" s="1745">
        <v>1.52</v>
      </c>
    </row>
    <row r="214" spans="2:3">
      <c r="B214" s="1735" t="s">
        <v>1222</v>
      </c>
      <c r="C214" s="1745">
        <v>0.3</v>
      </c>
    </row>
    <row r="215" ht="26.4" spans="2:3">
      <c r="B215" s="1735" t="s">
        <v>1226</v>
      </c>
      <c r="C215" s="1745">
        <v>0.3</v>
      </c>
    </row>
    <row r="216" spans="2:3">
      <c r="B216" s="1746" t="s">
        <v>1230</v>
      </c>
      <c r="C216" s="1747">
        <f>'Cell Tape 貼覆面積'!K9</f>
        <v>0.529370121670535</v>
      </c>
    </row>
    <row r="221" spans="1:1">
      <c r="A221" s="351" t="s">
        <v>1554</v>
      </c>
    </row>
    <row r="225" spans="2:4">
      <c r="B225" s="1712" t="s">
        <v>465</v>
      </c>
      <c r="C225" s="1748" t="s">
        <v>1555</v>
      </c>
      <c r="D225" s="1712" t="s">
        <v>113</v>
      </c>
    </row>
    <row r="226" spans="2:4">
      <c r="B226" s="1749">
        <f>'Thickness &amp; Weight'!T28</f>
        <v>310</v>
      </c>
      <c r="C226" s="1750">
        <f>ROUNDDOWN('Thickness &amp; Weight'!T27,1)</f>
        <v>295.4</v>
      </c>
      <c r="D226" s="1751" t="s">
        <v>1556</v>
      </c>
    </row>
    <row r="228" ht="15.15"/>
    <row r="229" ht="14.25" customHeight="1" spans="2:9">
      <c r="B229" s="1752" t="s">
        <v>1557</v>
      </c>
      <c r="C229" s="1753"/>
      <c r="D229" s="1754"/>
      <c r="E229" s="1755" t="s">
        <v>1558</v>
      </c>
      <c r="F229" s="1691" t="s">
        <v>1490</v>
      </c>
      <c r="G229" s="1756"/>
      <c r="H229" s="1757" t="str">
        <f>亮度與BLU功耗!E6</f>
        <v>13.0华南向</v>
      </c>
      <c r="I229" s="1783"/>
    </row>
    <row r="230" ht="14.25" customHeight="1" spans="2:9">
      <c r="B230" s="1758"/>
      <c r="C230" s="1759"/>
      <c r="D230" s="1760"/>
      <c r="E230" s="1761"/>
      <c r="F230" s="1762" t="s">
        <v>1559</v>
      </c>
      <c r="G230" s="1763" t="s">
        <v>1560</v>
      </c>
      <c r="H230" s="1764" t="s">
        <v>1559</v>
      </c>
      <c r="I230" s="1763" t="s">
        <v>1560</v>
      </c>
    </row>
    <row r="231" ht="14.25" customHeight="1" spans="2:9">
      <c r="B231" s="1755" t="s">
        <v>1561</v>
      </c>
      <c r="C231" s="1765" t="s">
        <v>1562</v>
      </c>
      <c r="D231" s="1766"/>
      <c r="E231" s="1767" t="s">
        <v>1107</v>
      </c>
      <c r="F231" s="1768"/>
      <c r="G231" s="1769"/>
      <c r="H231" s="1770">
        <f>'Thickness &amp; Weight'!R18</f>
        <v>0.25</v>
      </c>
      <c r="I231" s="1784">
        <f>'Thickness &amp; Weight'!V18+'Thickness &amp; Weight'!V19</f>
        <v>49.81665243984</v>
      </c>
    </row>
    <row r="232" ht="14.25" customHeight="1" spans="2:9">
      <c r="B232" s="1771"/>
      <c r="C232" s="1755" t="s">
        <v>1563</v>
      </c>
      <c r="D232" s="1762" t="s">
        <v>1496</v>
      </c>
      <c r="E232" s="1772" t="s">
        <v>1564</v>
      </c>
      <c r="F232" s="1768"/>
      <c r="G232" s="1769"/>
      <c r="H232" s="1770">
        <f>'Thickness &amp; Weight'!R12</f>
        <v>0.115</v>
      </c>
      <c r="I232" s="1784">
        <f>'Thickness &amp; Weight'!V12</f>
        <v>9.608504472</v>
      </c>
    </row>
    <row r="233" ht="14.25" customHeight="1" spans="2:9">
      <c r="B233" s="1771"/>
      <c r="C233" s="1771"/>
      <c r="D233" s="1762" t="s">
        <v>1565</v>
      </c>
      <c r="E233" s="1773"/>
      <c r="F233" s="1768"/>
      <c r="G233" s="1769"/>
      <c r="H233" s="1770">
        <f>'Thickness &amp; Weight'!R13</f>
        <v>0.157</v>
      </c>
      <c r="I233" s="1784">
        <f>'Thickness &amp; Weight'!V13</f>
        <v>14.2108388604</v>
      </c>
    </row>
    <row r="234" ht="14.25" customHeight="1" spans="2:9">
      <c r="B234" s="1771"/>
      <c r="C234" s="1771"/>
      <c r="D234" s="1762" t="s">
        <v>1566</v>
      </c>
      <c r="E234" s="1773"/>
      <c r="F234" s="1768"/>
      <c r="G234" s="1769"/>
      <c r="H234" s="1770">
        <f>'Thickness &amp; Weight'!R14</f>
        <v>0.152</v>
      </c>
      <c r="I234" s="1784">
        <f>'Thickness &amp; Weight'!V14</f>
        <v>13.7582643744</v>
      </c>
    </row>
    <row r="235" ht="14.25" customHeight="1" spans="2:9">
      <c r="B235" s="1771"/>
      <c r="C235" s="1771"/>
      <c r="D235" s="1762" t="s">
        <v>1567</v>
      </c>
      <c r="E235" s="1774"/>
      <c r="F235" s="1768"/>
      <c r="G235" s="1769"/>
      <c r="H235" s="1770">
        <f>'Thickness &amp; Weight'!R15</f>
        <v>0.058</v>
      </c>
      <c r="I235" s="1784">
        <f>'Thickness &amp; Weight'!V15</f>
        <v>4.8460283424</v>
      </c>
    </row>
    <row r="236" ht="14.25" customHeight="1" spans="2:9">
      <c r="B236" s="1771"/>
      <c r="C236" s="1761"/>
      <c r="D236" s="1762" t="s">
        <v>1568</v>
      </c>
      <c r="E236" s="1775"/>
      <c r="F236" s="1768"/>
      <c r="G236" s="1769"/>
      <c r="H236" s="1770">
        <f>'Thickness &amp; Weight'!R17</f>
        <v>0.16</v>
      </c>
      <c r="I236" s="1784">
        <f>'Thickness &amp; Weight'!V17</f>
        <v>9.962884656</v>
      </c>
    </row>
    <row r="237" ht="14.25" customHeight="1" spans="2:9">
      <c r="B237" s="1771"/>
      <c r="C237" s="1765" t="s">
        <v>1500</v>
      </c>
      <c r="D237" s="1766"/>
      <c r="E237" s="1767" t="s">
        <v>1569</v>
      </c>
      <c r="F237" s="1768"/>
      <c r="G237" s="1769"/>
      <c r="H237" s="1770">
        <f>'Thickness &amp; Weight'!R16</f>
        <v>0.5</v>
      </c>
      <c r="I237" s="1784">
        <f>'Thickness &amp; Weight'!V16</f>
        <v>42.2386614</v>
      </c>
    </row>
    <row r="238" ht="14.25" customHeight="1" spans="2:9">
      <c r="B238" s="1771"/>
      <c r="C238" s="1765" t="s">
        <v>1570</v>
      </c>
      <c r="D238" s="1766"/>
      <c r="E238" s="1767" t="s">
        <v>92</v>
      </c>
      <c r="F238" s="1768"/>
      <c r="G238" s="1769"/>
      <c r="H238" s="1770" t="s">
        <v>7</v>
      </c>
      <c r="I238" s="1784">
        <v>3</v>
      </c>
    </row>
    <row r="239" ht="14.25" customHeight="1" spans="2:9">
      <c r="B239" s="1761"/>
      <c r="C239" s="1765" t="s">
        <v>1571</v>
      </c>
      <c r="D239" s="1766"/>
      <c r="E239" s="1767" t="s">
        <v>1572</v>
      </c>
      <c r="F239" s="1768"/>
      <c r="G239" s="1769"/>
      <c r="H239" s="1770" t="s">
        <v>7</v>
      </c>
      <c r="I239" s="1784" t="s">
        <v>7</v>
      </c>
    </row>
    <row r="240" ht="14.25" customHeight="1" spans="2:9">
      <c r="B240" s="1755" t="s">
        <v>1573</v>
      </c>
      <c r="C240" s="1765" t="s">
        <v>1574</v>
      </c>
      <c r="D240" s="1766"/>
      <c r="E240" s="1767" t="s">
        <v>1572</v>
      </c>
      <c r="F240" s="1768"/>
      <c r="G240" s="1769"/>
      <c r="H240" s="1770">
        <f>'Thickness &amp; Weight'!C6+'Thickness &amp; Weight'!C7</f>
        <v>0.6</v>
      </c>
      <c r="I240" s="1784">
        <f>'Thickness &amp; Weight'!V6+'Thickness &amp; Weight'!V7</f>
        <v>107.658385632</v>
      </c>
    </row>
    <row r="241" ht="14.25" customHeight="1" spans="2:9">
      <c r="B241" s="1771"/>
      <c r="C241" s="1765" t="s">
        <v>1575</v>
      </c>
      <c r="D241" s="1766"/>
      <c r="E241" s="1767" t="s">
        <v>1572</v>
      </c>
      <c r="F241" s="1768"/>
      <c r="G241" s="1769"/>
      <c r="H241" s="1770">
        <f>'Thickness &amp; Weight'!C5</f>
        <v>0.119</v>
      </c>
      <c r="I241" s="1784">
        <f>'Thickness &amp; Weight'!V5</f>
        <v>10.49978347264</v>
      </c>
    </row>
    <row r="242" ht="14.25" customHeight="1" spans="2:9">
      <c r="B242" s="1771"/>
      <c r="C242" s="1765" t="s">
        <v>1576</v>
      </c>
      <c r="D242" s="1766"/>
      <c r="E242" s="1767" t="s">
        <v>7</v>
      </c>
      <c r="F242" s="1768"/>
      <c r="G242" s="1769"/>
      <c r="H242" s="1770">
        <f>'Thickness &amp; Weight'!C8</f>
        <v>0.117</v>
      </c>
      <c r="I242" s="1784">
        <f>'Thickness &amp; Weight'!V8</f>
        <v>10.32331652352</v>
      </c>
    </row>
    <row r="243" ht="14.25" customHeight="1" spans="2:9">
      <c r="B243" s="1771"/>
      <c r="C243" s="1765" t="s">
        <v>1577</v>
      </c>
      <c r="D243" s="1766"/>
      <c r="E243" s="1767" t="s">
        <v>1572</v>
      </c>
      <c r="F243" s="1768"/>
      <c r="G243" s="1769"/>
      <c r="H243" s="1770">
        <f>'Thickness &amp; Weight'!L7</f>
        <v>0.6</v>
      </c>
      <c r="I243" s="1784">
        <f>'Thickness &amp; Weight'!V11</f>
        <v>4.992</v>
      </c>
    </row>
    <row r="244" ht="14.25" customHeight="1" spans="2:9">
      <c r="B244" s="1761"/>
      <c r="C244" s="1765" t="s">
        <v>1578</v>
      </c>
      <c r="D244" s="1766"/>
      <c r="E244" s="1775"/>
      <c r="F244" s="1768"/>
      <c r="G244" s="1769"/>
      <c r="H244" s="1770" t="s">
        <v>7</v>
      </c>
      <c r="I244" s="1784" t="s">
        <v>7</v>
      </c>
    </row>
    <row r="245" ht="14.25" customHeight="1" spans="2:9">
      <c r="B245" s="1765" t="s">
        <v>1579</v>
      </c>
      <c r="C245" s="1776"/>
      <c r="D245" s="1766"/>
      <c r="E245" s="1767" t="s">
        <v>1564</v>
      </c>
      <c r="F245" s="1768"/>
      <c r="G245" s="1769"/>
      <c r="H245" s="1770">
        <f>'Thickness &amp; Weight'!C19</f>
        <v>0.05</v>
      </c>
      <c r="I245" s="1784">
        <v>1.5</v>
      </c>
    </row>
    <row r="246" ht="14.25" customHeight="1" spans="2:9">
      <c r="B246" s="1765" t="s">
        <v>1580</v>
      </c>
      <c r="C246" s="1776"/>
      <c r="D246" s="1766"/>
      <c r="E246" s="1767" t="s">
        <v>1572</v>
      </c>
      <c r="F246" s="1768"/>
      <c r="G246" s="1769"/>
      <c r="H246" s="1770" t="s">
        <v>7</v>
      </c>
      <c r="I246" s="1784">
        <v>3</v>
      </c>
    </row>
    <row r="247" ht="14.25" customHeight="1" spans="2:9">
      <c r="B247" s="1765" t="s">
        <v>1581</v>
      </c>
      <c r="C247" s="1776"/>
      <c r="D247" s="1766"/>
      <c r="E247" s="1767" t="s">
        <v>1572</v>
      </c>
      <c r="F247" s="1768"/>
      <c r="G247" s="1769"/>
      <c r="H247" s="1770" t="str">
        <f>'Thickness &amp; Weight'!C22&amp;"Typ"</f>
        <v>2.378Typ</v>
      </c>
      <c r="I247" s="1785" t="str">
        <f>ROUNDDOWN('Thickness &amp; Weight'!T25,1)&amp;"g Typ"</f>
        <v>285.4g Typ</v>
      </c>
    </row>
    <row r="248" ht="14.25" customHeight="1" spans="2:9">
      <c r="B248" s="1765" t="s">
        <v>1582</v>
      </c>
      <c r="C248" s="1776"/>
      <c r="D248" s="1776"/>
      <c r="E248" s="1766"/>
      <c r="F248" s="1768"/>
      <c r="G248" s="1769"/>
      <c r="H248" s="1777" t="str">
        <f>'Thickness &amp; Weight'!C25&amp;" Max"</f>
        <v>2.8 Max</v>
      </c>
      <c r="I248" s="1786" t="str">
        <f>ROUNDDOWN('Thickness &amp; Weight'!T27,1)&amp;"g Max"</f>
        <v>295.4g Max</v>
      </c>
    </row>
    <row r="251" spans="1:1">
      <c r="A251" s="351" t="s">
        <v>1583</v>
      </c>
    </row>
    <row r="252" ht="15" customHeight="1"/>
    <row r="253" ht="15" customHeight="1" spans="2:6">
      <c r="B253" s="1691" t="s">
        <v>1557</v>
      </c>
      <c r="C253" s="1692"/>
      <c r="D253" s="1693" t="s">
        <v>1490</v>
      </c>
      <c r="E253" s="1694" t="str">
        <f>亮度與BLU功耗!E6</f>
        <v>13.0华南向</v>
      </c>
      <c r="F253" s="1778" t="s">
        <v>113</v>
      </c>
    </row>
    <row r="254" ht="15" customHeight="1" spans="2:6">
      <c r="B254" s="1691" t="s">
        <v>1584</v>
      </c>
      <c r="C254" s="1692"/>
      <c r="D254" s="1779">
        <f>亮度與BLU功耗!D9</f>
        <v>0.0495</v>
      </c>
      <c r="E254" s="1780">
        <f>亮度與BLU功耗!E9</f>
        <v>0.06163945</v>
      </c>
      <c r="F254" s="1709"/>
    </row>
    <row r="255" ht="21" customHeight="1" spans="2:6">
      <c r="B255" s="1781" t="s">
        <v>710</v>
      </c>
      <c r="C255" s="1702" t="s">
        <v>1585</v>
      </c>
      <c r="D255" s="1703" t="str">
        <f>亮度與BLU功耗!D10</f>
        <v>3006(KSF+β-sailon(540)-日亞)-無Zener</v>
      </c>
      <c r="E255" s="1708" t="str">
        <f>VLOOKUP(亮度與BLU功耗!E10,LED選型!B3:M67,11,FALSE)</f>
        <v>3006(YAG)-無Zener</v>
      </c>
      <c r="F255" s="1709"/>
    </row>
    <row r="256" ht="15" customHeight="1" spans="2:6">
      <c r="B256" s="1782"/>
      <c r="C256" s="1702" t="s">
        <v>1586</v>
      </c>
      <c r="D256" s="1703">
        <f>亮度與BLU功耗!D14</f>
        <v>80</v>
      </c>
      <c r="E256" s="1708">
        <f>亮度與BLU功耗!E14</f>
        <v>55</v>
      </c>
      <c r="F256" s="1709"/>
    </row>
    <row r="257" ht="15" customHeight="1" spans="2:6">
      <c r="B257" s="1782"/>
      <c r="C257" s="1696" t="s">
        <v>1587</v>
      </c>
      <c r="D257" s="1697"/>
      <c r="E257" s="1708">
        <f>亮度與BLU功耗!E22</f>
        <v>2.93</v>
      </c>
      <c r="F257" s="1709"/>
    </row>
    <row r="258" ht="15" customHeight="1" spans="2:6">
      <c r="B258" s="1787"/>
      <c r="C258" s="1702" t="s">
        <v>1588</v>
      </c>
      <c r="D258" s="1703">
        <f>亮度與BLU功耗!D20</f>
        <v>8.25</v>
      </c>
      <c r="E258" s="1708">
        <f>亮度與BLU功耗!E20</f>
        <v>8.75</v>
      </c>
      <c r="F258" s="1709"/>
    </row>
    <row r="259" ht="15" customHeight="1" spans="2:6">
      <c r="B259" s="1691" t="s">
        <v>1589</v>
      </c>
      <c r="C259" s="1692"/>
      <c r="D259" s="1703"/>
      <c r="E259" s="1780" t="str">
        <f>亮度與BLU功耗!E8</f>
        <v>有APF POL</v>
      </c>
      <c r="F259" s="1709"/>
    </row>
    <row r="260" ht="15" customHeight="1" spans="2:6">
      <c r="B260" s="1691" t="s">
        <v>1590</v>
      </c>
      <c r="C260" s="1692"/>
      <c r="D260" s="1703" t="str">
        <f>亮度與BLU功耗!D27</f>
        <v>JS568HK</v>
      </c>
      <c r="E260" s="1708" t="str">
        <f>IF(亮度與BLU功耗!E27="","-",亮度與BLU功耗!E27)</f>
        <v>JS960HK</v>
      </c>
      <c r="F260" s="1709"/>
    </row>
    <row r="261" ht="15" customHeight="1" spans="2:6">
      <c r="B261" s="1691" t="s">
        <v>1591</v>
      </c>
      <c r="C261" s="1692"/>
      <c r="D261" s="1703" t="str">
        <f>亮度與BLU功耗!D29</f>
        <v>HLS504-03/HS504E</v>
      </c>
      <c r="E261" s="1708" t="str">
        <f>'BOM List格式（附件上传）'!G152</f>
        <v>Ubright HLS505-03 0.157t</v>
      </c>
      <c r="F261" s="1709"/>
    </row>
    <row r="262" ht="15" customHeight="1" spans="2:6">
      <c r="B262" s="1691" t="s">
        <v>860</v>
      </c>
      <c r="C262" s="1692"/>
      <c r="D262" s="1703"/>
      <c r="E262" s="1708" t="str">
        <f>'BOM List格式（附件上传）'!G153</f>
        <v>Ubright HS505E 0.152t</v>
      </c>
      <c r="F262" s="1709"/>
    </row>
    <row r="263" ht="15" customHeight="1" spans="2:6">
      <c r="B263" s="1691" t="s">
        <v>865</v>
      </c>
      <c r="C263" s="1692"/>
      <c r="D263" s="1703" t="str">
        <f>亮度與BLU功耗!D31</f>
        <v>CH196NU</v>
      </c>
      <c r="E263" s="1708" t="str">
        <f>亮度與BLU功耗!E31</f>
        <v>CDH743X</v>
      </c>
      <c r="F263" s="1709"/>
    </row>
    <row r="264" ht="15" customHeight="1" spans="2:6">
      <c r="B264" s="1691" t="s">
        <v>1500</v>
      </c>
      <c r="C264" s="1692"/>
      <c r="D264" s="1703" t="str">
        <f>亮度與BLU功耗!D34&amp;"t"&amp;" "&amp;亮度與BLU功耗!D33</f>
        <v>0.5t V-Cut</v>
      </c>
      <c r="E264" s="1708" t="str">
        <f>'BOM List格式（附件上传）'!G149</f>
        <v>热压PMMA，0.5t V-CUT</v>
      </c>
      <c r="F264" s="1709"/>
    </row>
    <row r="265" ht="15" customHeight="1" spans="2:6">
      <c r="B265" s="1691" t="s">
        <v>1592</v>
      </c>
      <c r="C265" s="1692"/>
      <c r="D265" s="1703" t="str">
        <f>亮度與BLU功耗!D32</f>
        <v>EST100BS</v>
      </c>
      <c r="E265" s="1708" t="str">
        <f>亮度與BLU功耗!E32</f>
        <v>RF150UC10E</v>
      </c>
      <c r="F265" s="1709"/>
    </row>
    <row r="266" ht="15" customHeight="1" spans="2:6">
      <c r="B266" s="1788" t="s">
        <v>1593</v>
      </c>
      <c r="C266" s="1789"/>
      <c r="D266" s="1703">
        <v>1</v>
      </c>
      <c r="E266" s="1790">
        <f>亮度與BLU功耗!E39</f>
        <v>0.796456111705504</v>
      </c>
      <c r="F266" s="1709"/>
    </row>
    <row r="267" ht="15" customHeight="1" spans="2:6">
      <c r="B267" s="1788" t="s">
        <v>1594</v>
      </c>
      <c r="C267" s="1789"/>
      <c r="D267" s="1703">
        <v>1</v>
      </c>
      <c r="E267" s="1790">
        <f>亮度與BLU功耗!E42</f>
        <v>0.771233974358974</v>
      </c>
      <c r="F267" s="1709"/>
    </row>
    <row r="268" ht="15" customHeight="1" spans="2:6">
      <c r="B268" s="1788" t="s">
        <v>1595</v>
      </c>
      <c r="C268" s="1789"/>
      <c r="D268" s="1703">
        <v>1</v>
      </c>
      <c r="E268" s="1790">
        <f>亮度與BLU功耗!E43</f>
        <v>0.990872557951378</v>
      </c>
      <c r="F268" s="1709"/>
    </row>
    <row r="269" ht="15" customHeight="1" spans="2:6">
      <c r="B269" s="1788" t="s">
        <v>1596</v>
      </c>
      <c r="C269" s="1789"/>
      <c r="D269" s="1703">
        <v>1</v>
      </c>
      <c r="E269" s="1790">
        <f>亮度與BLU功耗!E52</f>
        <v>1.24524141414141</v>
      </c>
      <c r="F269" s="1709"/>
    </row>
    <row r="270" ht="15" customHeight="1" spans="2:6">
      <c r="B270" s="1788" t="s">
        <v>1597</v>
      </c>
      <c r="C270" s="1789"/>
      <c r="D270" s="1703">
        <v>1</v>
      </c>
      <c r="E270" s="1790">
        <f>亮度與BLU功耗!E54</f>
        <v>0.80001928257209</v>
      </c>
      <c r="F270" s="1709"/>
    </row>
    <row r="271" ht="15" customHeight="1" spans="2:6">
      <c r="B271" s="1788" t="s">
        <v>1598</v>
      </c>
      <c r="C271" s="1789"/>
      <c r="D271" s="1703" t="s">
        <v>7</v>
      </c>
      <c r="E271" s="1708" t="str">
        <f>亮度與BLU功耗!E25&amp;"W Max"</f>
        <v>3.62W Max</v>
      </c>
      <c r="F271" s="1709"/>
    </row>
    <row r="272" ht="15" customHeight="1" spans="2:6">
      <c r="B272" s="1788" t="s">
        <v>1599</v>
      </c>
      <c r="C272" s="1789"/>
      <c r="D272" s="1703">
        <f>亮度與BLU功耗!D56</f>
        <v>0</v>
      </c>
      <c r="E272" s="1710" t="str">
        <f>Summary!C33&amp;"nit Typ"</f>
        <v>300nit Typ</v>
      </c>
      <c r="F272" s="1709"/>
    </row>
    <row r="275" spans="1:1">
      <c r="A275" s="351" t="s">
        <v>1600</v>
      </c>
    </row>
    <row r="290" ht="15.15"/>
    <row r="291" ht="15.9" spans="2:4">
      <c r="B291" s="1791" t="s">
        <v>1489</v>
      </c>
      <c r="C291" s="1792" t="str">
        <f>亮度與BLU功耗!E6</f>
        <v>13.0华南向</v>
      </c>
      <c r="D291" s="1793" t="s">
        <v>113</v>
      </c>
    </row>
    <row r="292" ht="22.5" customHeight="1" spans="2:4">
      <c r="B292" s="1794" t="s">
        <v>1601</v>
      </c>
      <c r="C292" s="1795" t="str">
        <f>VLOOKUP(亮度與BLU功耗!E10,LED選型!B3:M67,11,FALSE)</f>
        <v>3006(YAG)-無Zener</v>
      </c>
      <c r="D292" s="1796"/>
    </row>
    <row r="293" ht="16.5" customHeight="1" spans="2:4">
      <c r="B293" s="1794" t="s">
        <v>1602</v>
      </c>
      <c r="C293" s="1797">
        <f>亮度與BLU功耗!E14</f>
        <v>55</v>
      </c>
      <c r="D293" s="1796"/>
    </row>
    <row r="294" ht="16.5" customHeight="1" spans="2:4">
      <c r="B294" s="1794" t="s">
        <v>1603</v>
      </c>
      <c r="C294" s="1795" t="str">
        <f>亮度與BLU功耗!J31</f>
        <v>LED之间横放</v>
      </c>
      <c r="D294" s="1796"/>
    </row>
    <row r="295" ht="16.5" customHeight="1" spans="2:4">
      <c r="B295" s="1794" t="s">
        <v>293</v>
      </c>
      <c r="C295" s="1795">
        <f>亮度與BLU功耗!J30</f>
        <v>0.4</v>
      </c>
      <c r="D295" s="1796"/>
    </row>
    <row r="296" ht="16.5" customHeight="1" spans="2:4">
      <c r="B296" s="1794" t="s">
        <v>300</v>
      </c>
      <c r="C296" s="1795">
        <f>亮度與BLU功耗!J35</f>
        <v>30</v>
      </c>
      <c r="D296" s="1796"/>
    </row>
    <row r="297" ht="16.5" customHeight="1" spans="2:4">
      <c r="B297" s="1794" t="s">
        <v>1604</v>
      </c>
      <c r="C297" s="1798">
        <f>亮度與BLU功耗!J37</f>
        <v>6.2440060502942</v>
      </c>
      <c r="D297" s="1796"/>
    </row>
    <row r="298" ht="16.5" customHeight="1" spans="2:4">
      <c r="B298" s="1794" t="s">
        <v>1605</v>
      </c>
      <c r="C298" s="1798">
        <f>亮度與BLU功耗!J36</f>
        <v>6.1</v>
      </c>
      <c r="D298" s="1796"/>
    </row>
    <row r="299" ht="16.5" customHeight="1" spans="2:4">
      <c r="B299" s="1794" t="s">
        <v>1606</v>
      </c>
      <c r="C299" s="1798">
        <f>亮度與BLU功耗!J38</f>
        <v>0.976936913716249</v>
      </c>
      <c r="D299" s="1796"/>
    </row>
    <row r="300" ht="16.5" customHeight="1" spans="2:4">
      <c r="B300" s="1799" t="s">
        <v>1607</v>
      </c>
      <c r="C300" s="1800" t="str">
        <f>IF(C299&gt;=VLOOKUP(亮度與BLU功耗!E33,亮度與BLU功耗!I41:K45,3,0),"OK","NG")</f>
        <v>OK</v>
      </c>
      <c r="D300" s="1801" t="str">
        <f>亮度與BLU功耗!E33</f>
        <v>V-CUT</v>
      </c>
    </row>
    <row r="301" ht="15.15"/>
    <row r="303" spans="1:1">
      <c r="A303" s="351" t="s">
        <v>1608</v>
      </c>
    </row>
    <row r="304" ht="15.15"/>
    <row r="305" ht="15.15" spans="2:6">
      <c r="B305" s="1802" t="s">
        <v>1489</v>
      </c>
      <c r="C305" s="1803"/>
      <c r="D305" s="1804"/>
      <c r="E305" s="1805" t="str">
        <f>亮度與BLU功耗!E6</f>
        <v>13.0华南向</v>
      </c>
      <c r="F305" s="1805" t="s">
        <v>1609</v>
      </c>
    </row>
    <row r="306" ht="18.75" customHeight="1" spans="2:6">
      <c r="B306" s="1806"/>
      <c r="C306" s="1807"/>
      <c r="D306" s="1808"/>
      <c r="E306" s="1805">
        <f>亮度與BLU功耗!K14</f>
        <v>0</v>
      </c>
      <c r="F306" s="1805" t="s">
        <v>1610</v>
      </c>
    </row>
    <row r="307" ht="18.75" customHeight="1" spans="2:6">
      <c r="B307" s="1696" t="s">
        <v>1611</v>
      </c>
      <c r="C307" s="1702" t="s">
        <v>1612</v>
      </c>
      <c r="D307" s="1809">
        <v>0.643</v>
      </c>
      <c r="E307" s="1810"/>
      <c r="F307" s="1810"/>
    </row>
    <row r="308" ht="18.75" customHeight="1" spans="2:6">
      <c r="B308" s="1700"/>
      <c r="C308" s="1702" t="s">
        <v>1613</v>
      </c>
      <c r="D308" s="1809">
        <v>0.33</v>
      </c>
      <c r="E308" s="1810"/>
      <c r="F308" s="1810"/>
    </row>
    <row r="309" ht="18.75" customHeight="1" spans="2:6">
      <c r="B309" s="1700"/>
      <c r="C309" s="1702" t="s">
        <v>1614</v>
      </c>
      <c r="D309" s="1809">
        <v>0.3</v>
      </c>
      <c r="E309" s="1810"/>
      <c r="F309" s="1810"/>
    </row>
    <row r="310" ht="18.75" customHeight="1" spans="2:6">
      <c r="B310" s="1700"/>
      <c r="C310" s="1702" t="s">
        <v>1615</v>
      </c>
      <c r="D310" s="1809">
        <v>0.602</v>
      </c>
      <c r="E310" s="1810"/>
      <c r="F310" s="1810"/>
    </row>
    <row r="311" ht="18.75" customHeight="1" spans="2:6">
      <c r="B311" s="1700"/>
      <c r="C311" s="1702" t="s">
        <v>1616</v>
      </c>
      <c r="D311" s="1809">
        <v>0.149</v>
      </c>
      <c r="E311" s="1810"/>
      <c r="F311" s="1810"/>
    </row>
    <row r="312" ht="18.75" customHeight="1" spans="2:6">
      <c r="B312" s="1700"/>
      <c r="C312" s="1702" t="s">
        <v>1617</v>
      </c>
      <c r="D312" s="1809">
        <v>0.058</v>
      </c>
      <c r="E312" s="1810"/>
      <c r="F312" s="1810"/>
    </row>
    <row r="313" ht="18.75" customHeight="1" spans="2:6">
      <c r="B313" s="1700"/>
      <c r="C313" s="1702" t="s">
        <v>50</v>
      </c>
      <c r="D313" s="1809">
        <v>0.313</v>
      </c>
      <c r="E313" s="1810"/>
      <c r="F313" s="1810"/>
    </row>
    <row r="314" ht="18.75" customHeight="1" spans="2:6">
      <c r="B314" s="1700"/>
      <c r="C314" s="1702" t="s">
        <v>52</v>
      </c>
      <c r="D314" s="1809">
        <v>0.329</v>
      </c>
      <c r="E314" s="1810"/>
      <c r="F314" s="1810"/>
    </row>
    <row r="315" ht="18.75" customHeight="1" spans="2:6">
      <c r="B315" s="1701"/>
      <c r="C315" s="1702" t="s">
        <v>1618</v>
      </c>
      <c r="D315" s="1775" t="s">
        <v>7</v>
      </c>
      <c r="E315" s="1810"/>
      <c r="F315" s="1810"/>
    </row>
    <row r="316" ht="18.75" customHeight="1" spans="2:6">
      <c r="B316" s="1691" t="s">
        <v>1619</v>
      </c>
      <c r="C316" s="1692"/>
      <c r="D316" s="1811">
        <v>0.72</v>
      </c>
      <c r="E316" s="1810"/>
      <c r="F316" s="1810"/>
    </row>
    <row r="323" spans="1:1">
      <c r="A323" s="351" t="s">
        <v>1620</v>
      </c>
    </row>
    <row r="324" ht="15.15"/>
    <row r="325" ht="15" customHeight="1" spans="2:6">
      <c r="B325" s="1691" t="s">
        <v>1557</v>
      </c>
      <c r="C325" s="1692"/>
      <c r="D325" s="1693" t="s">
        <v>1490</v>
      </c>
      <c r="E325" s="1694" t="str">
        <f>亮度與BLU功耗!E6</f>
        <v>13.0华南向</v>
      </c>
      <c r="F325" s="1695" t="s">
        <v>113</v>
      </c>
    </row>
    <row r="326" ht="23.25" customHeight="1" spans="2:6">
      <c r="B326" s="1696" t="s">
        <v>710</v>
      </c>
      <c r="C326" s="1702" t="s">
        <v>1585</v>
      </c>
      <c r="D326" s="1707"/>
      <c r="E326" s="1812" t="str">
        <f>E255</f>
        <v>3006(YAG)-無Zener</v>
      </c>
      <c r="F326" s="1709"/>
    </row>
    <row r="327" ht="15" customHeight="1" spans="2:6">
      <c r="B327" s="1700"/>
      <c r="C327" s="1702" t="s">
        <v>1586</v>
      </c>
      <c r="D327" s="1707"/>
      <c r="E327" s="1708">
        <f>C293</f>
        <v>55</v>
      </c>
      <c r="F327" s="1709"/>
    </row>
    <row r="328" ht="15" customHeight="1" spans="2:6">
      <c r="B328" s="1700"/>
      <c r="C328" s="1702" t="s">
        <v>1621</v>
      </c>
      <c r="D328" s="1707"/>
      <c r="E328" s="1708" t="str">
        <f>亮度與BLU功耗!B37</f>
        <v>A-A H</v>
      </c>
      <c r="F328" s="1709"/>
    </row>
    <row r="329" ht="15" customHeight="1" spans="2:6">
      <c r="B329" s="1700"/>
      <c r="C329" s="1702" t="s">
        <v>1622</v>
      </c>
      <c r="D329" s="1707"/>
      <c r="E329" s="1708">
        <f>亮度與BLU功耗!E22</f>
        <v>2.93</v>
      </c>
      <c r="F329" s="1709"/>
    </row>
    <row r="330" ht="15" customHeight="1" spans="2:6">
      <c r="B330" s="1700"/>
      <c r="C330" s="1696" t="s">
        <v>1588</v>
      </c>
      <c r="D330" s="1813"/>
      <c r="E330" s="1814">
        <f>亮度與BLU功耗!E20</f>
        <v>8.75</v>
      </c>
      <c r="F330" s="1815"/>
    </row>
    <row r="331" ht="15" customHeight="1" spans="2:6">
      <c r="B331" s="1691" t="s">
        <v>1590</v>
      </c>
      <c r="C331" s="1692"/>
      <c r="D331" s="1707"/>
      <c r="E331" s="1708" t="str">
        <f>IF(亮度與BLU功耗!E27="","-",亮度與BLU功耗!E27)</f>
        <v>JS960HK</v>
      </c>
      <c r="F331" s="1709"/>
    </row>
    <row r="332" ht="15" customHeight="1" spans="2:6">
      <c r="B332" s="1691" t="s">
        <v>1591</v>
      </c>
      <c r="C332" s="1692"/>
      <c r="D332" s="1707"/>
      <c r="E332" s="1708" t="str">
        <f>'BOM List格式（附件上传）'!G152</f>
        <v>Ubright HLS505-03 0.157t</v>
      </c>
      <c r="F332" s="1709"/>
    </row>
    <row r="333" ht="15" customHeight="1" spans="2:6">
      <c r="B333" s="1691" t="s">
        <v>860</v>
      </c>
      <c r="C333" s="1692"/>
      <c r="D333" s="1707"/>
      <c r="E333" s="1708" t="str">
        <f>'BOM List格式（附件上传）'!G153</f>
        <v>Ubright HS505E 0.152t</v>
      </c>
      <c r="F333" s="1705"/>
    </row>
    <row r="334" ht="15" customHeight="1" spans="2:6">
      <c r="B334" s="1691" t="s">
        <v>865</v>
      </c>
      <c r="C334" s="1692"/>
      <c r="D334" s="1707"/>
      <c r="E334" s="1708" t="str">
        <f>亮度與BLU功耗!E31</f>
        <v>CDH743X</v>
      </c>
      <c r="F334" s="1709"/>
    </row>
    <row r="335" ht="15" customHeight="1" spans="2:6">
      <c r="B335" s="1691" t="s">
        <v>1592</v>
      </c>
      <c r="C335" s="1692"/>
      <c r="D335" s="1707"/>
      <c r="E335" s="1708" t="str">
        <f>'BOM List格式（附件上传）'!G155</f>
        <v>兰埔成 RF150UC10E 0.16t</v>
      </c>
      <c r="F335" s="1709"/>
    </row>
    <row r="336" ht="15" customHeight="1" spans="2:6">
      <c r="B336" s="1691" t="s">
        <v>1500</v>
      </c>
      <c r="C336" s="1692"/>
      <c r="D336" s="1707"/>
      <c r="E336" s="1708" t="str">
        <f>'BOM List格式（附件上传）'!G149</f>
        <v>热压PMMA，0.5t V-CUT</v>
      </c>
      <c r="F336" s="1709"/>
    </row>
    <row r="337" ht="15" customHeight="1" spans="2:6">
      <c r="B337" s="1691" t="s">
        <v>75</v>
      </c>
      <c r="C337" s="1692"/>
      <c r="D337" s="1707"/>
      <c r="E337" s="1708" t="str">
        <f>'BOM List格式（附件上传）'!G148</f>
        <v>DA01-H38 0.25t双折</v>
      </c>
      <c r="F337" s="1709"/>
    </row>
    <row r="338" ht="15" customHeight="1" spans="2:6">
      <c r="B338" s="1691" t="s">
        <v>1570</v>
      </c>
      <c r="C338" s="1692"/>
      <c r="D338" s="1707"/>
      <c r="E338" s="1708" t="str">
        <f>'BOM List格式（附件上传）'!G150</f>
        <v>PC 白</v>
      </c>
      <c r="F338" s="1709"/>
    </row>
    <row r="339" ht="15" customHeight="1" spans="2:6">
      <c r="B339" s="1691" t="s">
        <v>1623</v>
      </c>
      <c r="C339" s="1692"/>
      <c r="D339" s="1707"/>
      <c r="E339" s="1708" t="str">
        <f>'BOM List格式（附件上传）'!G159</f>
        <v>双铝 </v>
      </c>
      <c r="F339" s="1709"/>
    </row>
    <row r="340" ht="15" customHeight="1" spans="2:6">
      <c r="B340" s="1691" t="s">
        <v>1624</v>
      </c>
      <c r="C340" s="1692"/>
      <c r="D340" s="1707"/>
      <c r="E340" s="1710"/>
      <c r="F340" s="1709"/>
    </row>
    <row r="341" spans="5:5">
      <c r="E341" s="784"/>
    </row>
  </sheetData>
  <mergeCells count="68">
    <mergeCell ref="B25:G25"/>
    <mergeCell ref="I25:N25"/>
    <mergeCell ref="B42:G42"/>
    <mergeCell ref="B50:G50"/>
    <mergeCell ref="B71:C71"/>
    <mergeCell ref="C170:D170"/>
    <mergeCell ref="B197:C197"/>
    <mergeCell ref="F197:G197"/>
    <mergeCell ref="F229:G229"/>
    <mergeCell ref="H229:I229"/>
    <mergeCell ref="C231:D231"/>
    <mergeCell ref="C237:D237"/>
    <mergeCell ref="C238:D238"/>
    <mergeCell ref="C239:D239"/>
    <mergeCell ref="C240:D240"/>
    <mergeCell ref="C241:D241"/>
    <mergeCell ref="C242:D242"/>
    <mergeCell ref="C243:D243"/>
    <mergeCell ref="C244:D244"/>
    <mergeCell ref="B245:D245"/>
    <mergeCell ref="B246:D246"/>
    <mergeCell ref="B247:D247"/>
    <mergeCell ref="B248:E248"/>
    <mergeCell ref="B253:C253"/>
    <mergeCell ref="B254:C254"/>
    <mergeCell ref="B259:C259"/>
    <mergeCell ref="B260:C260"/>
    <mergeCell ref="B261:C261"/>
    <mergeCell ref="B262:C262"/>
    <mergeCell ref="B263:C263"/>
    <mergeCell ref="B264:C264"/>
    <mergeCell ref="B265:C265"/>
    <mergeCell ref="B266:C266"/>
    <mergeCell ref="B267:C267"/>
    <mergeCell ref="B268:C268"/>
    <mergeCell ref="B269:C269"/>
    <mergeCell ref="B270:C270"/>
    <mergeCell ref="B271:C271"/>
    <mergeCell ref="B272:C272"/>
    <mergeCell ref="B316:C316"/>
    <mergeCell ref="B325:C325"/>
    <mergeCell ref="B331:C331"/>
    <mergeCell ref="B332:C332"/>
    <mergeCell ref="B333:C333"/>
    <mergeCell ref="B334:C334"/>
    <mergeCell ref="B335:C335"/>
    <mergeCell ref="B336:C336"/>
    <mergeCell ref="B337:C337"/>
    <mergeCell ref="B338:C338"/>
    <mergeCell ref="B339:C339"/>
    <mergeCell ref="B340:C340"/>
    <mergeCell ref="B72:B75"/>
    <mergeCell ref="B76:B79"/>
    <mergeCell ref="B186:B191"/>
    <mergeCell ref="B231:B239"/>
    <mergeCell ref="B240:B244"/>
    <mergeCell ref="B255:B258"/>
    <mergeCell ref="B307:B315"/>
    <mergeCell ref="B326:B330"/>
    <mergeCell ref="C232:C236"/>
    <mergeCell ref="E229:E230"/>
    <mergeCell ref="E232:E235"/>
    <mergeCell ref="F37:F38"/>
    <mergeCell ref="G37:G38"/>
    <mergeCell ref="M38:M39"/>
    <mergeCell ref="N38:N39"/>
    <mergeCell ref="B305:D306"/>
    <mergeCell ref="B229:D230"/>
  </mergeCells>
  <pageMargins left="0.7" right="0.7" top="0.75" bottom="0.75" header="0.3" footer="0.3"/>
  <pageSetup paperSize="9" scale="68" orientation="portrait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2" tint="-0.249977111117893"/>
  </sheetPr>
  <dimension ref="A1:BW35"/>
  <sheetViews>
    <sheetView tabSelected="1" zoomScale="70" zoomScaleNormal="70" workbookViewId="0">
      <pane xSplit="2" ySplit="1" topLeftCell="C2" activePane="bottomRight" state="frozen"/>
      <selection/>
      <selection pane="topRight"/>
      <selection pane="bottomLeft"/>
      <selection pane="bottomRight" activeCell="H21" sqref="H21"/>
    </sheetView>
  </sheetViews>
  <sheetFormatPr defaultColWidth="9" defaultRowHeight="30" customHeight="1"/>
  <cols>
    <col min="1" max="1" width="14.3333333333333" style="1557" customWidth="1"/>
    <col min="2" max="2" width="40" style="1557" customWidth="1"/>
    <col min="3" max="3" width="39.4444444444444" style="1557" customWidth="1"/>
    <col min="4" max="4" width="26.7777777777778" style="1557" customWidth="1"/>
    <col min="5" max="5" width="34.1111111111111" style="1557" customWidth="1"/>
    <col min="6" max="6" width="30.6666666666667" style="1557" customWidth="1"/>
    <col min="7" max="7" width="10.1111111111111" style="1557" customWidth="1"/>
    <col min="8" max="8" width="26.8888888888889" style="1557" customWidth="1"/>
    <col min="9" max="9" width="2.66666666666667" style="1557" customWidth="1"/>
    <col min="10" max="10" width="17.3333333333333" style="1555" customWidth="1"/>
    <col min="11" max="11" width="14.2222222222222" style="1555" customWidth="1"/>
    <col min="12" max="12" width="9.44444444444444" style="1555" customWidth="1"/>
    <col min="13" max="13" width="9" style="1555"/>
    <col min="14" max="14" width="10.8888888888889" style="1555" customWidth="1"/>
    <col min="15" max="16" width="9" style="1555"/>
    <col min="17" max="17" width="12.7777777777778" style="1555" customWidth="1"/>
    <col min="18" max="18" width="17.6666666666667" style="1555" customWidth="1"/>
    <col min="19" max="19" width="11.1111111111111" style="1555" customWidth="1"/>
    <col min="20" max="20" width="13.4444444444444" style="1555" customWidth="1"/>
    <col min="21" max="21" width="17.8888888888889" style="1555" customWidth="1"/>
    <col min="22" max="22" width="10.1111111111111" style="1555" customWidth="1"/>
    <col min="23" max="25" width="9" style="1555"/>
    <col min="26" max="26" width="12.2222222222222" style="1555" customWidth="1"/>
    <col min="27" max="75" width="9" style="1555"/>
    <col min="76" max="16384" width="9" style="1557"/>
  </cols>
  <sheetData>
    <row r="1" ht="67.5" customHeight="1" spans="1:8">
      <c r="A1" s="1558" t="s">
        <v>1489</v>
      </c>
      <c r="B1" s="1559" t="s">
        <v>1625</v>
      </c>
      <c r="C1" s="1560" t="s">
        <v>1626</v>
      </c>
      <c r="D1" s="1560"/>
      <c r="E1" s="1561" t="s">
        <v>1627</v>
      </c>
      <c r="F1" s="1561"/>
      <c r="H1" s="1562" t="s">
        <v>1628</v>
      </c>
    </row>
    <row r="2" ht="35.1" customHeight="1" spans="1:9">
      <c r="A2" s="1563"/>
      <c r="B2" s="1564"/>
      <c r="C2" s="1565" t="s">
        <v>1629</v>
      </c>
      <c r="D2" s="1565" t="s">
        <v>1630</v>
      </c>
      <c r="E2" s="1566" t="s">
        <v>1629</v>
      </c>
      <c r="F2" s="1566" t="s">
        <v>900</v>
      </c>
      <c r="G2" s="1555"/>
      <c r="H2" s="1567" t="str">
        <f>亮度與BLU功耗!E6</f>
        <v>13.0华南向</v>
      </c>
      <c r="I2" s="1555"/>
    </row>
    <row r="3" s="1554" customFormat="1" ht="35.1" hidden="1" customHeight="1" spans="1:75">
      <c r="A3" s="1568" t="s">
        <v>1631</v>
      </c>
      <c r="B3" s="1569" t="s">
        <v>1013</v>
      </c>
      <c r="C3" s="1570" t="s">
        <v>1632</v>
      </c>
      <c r="D3" s="1570"/>
      <c r="E3" s="1571"/>
      <c r="F3" s="1572"/>
      <c r="G3" s="1555"/>
      <c r="H3" s="1555"/>
      <c r="I3" s="1555"/>
      <c r="J3" s="1555"/>
      <c r="K3" s="1555"/>
      <c r="L3" s="1555"/>
      <c r="M3" s="1555"/>
      <c r="N3" s="1555"/>
      <c r="O3" s="1555"/>
      <c r="P3" s="1555"/>
      <c r="Q3" s="1555"/>
      <c r="R3" s="1555"/>
      <c r="S3" s="1555"/>
      <c r="T3" s="1555"/>
      <c r="U3" s="1555"/>
      <c r="V3" s="1555"/>
      <c r="W3" s="1555"/>
      <c r="X3" s="1555"/>
      <c r="Y3" s="1555"/>
      <c r="Z3" s="1555"/>
      <c r="AA3" s="1555"/>
      <c r="AB3" s="1555"/>
      <c r="AC3" s="1555"/>
      <c r="AD3" s="1555"/>
      <c r="AE3" s="1555"/>
      <c r="AF3" s="1555"/>
      <c r="AG3" s="1555"/>
      <c r="AH3" s="1555"/>
      <c r="AI3" s="1555"/>
      <c r="AJ3" s="1555"/>
      <c r="AK3" s="1555"/>
      <c r="AL3" s="1555"/>
      <c r="AM3" s="1555"/>
      <c r="AN3" s="1555"/>
      <c r="AO3" s="1555"/>
      <c r="AP3" s="1555"/>
      <c r="AQ3" s="1555"/>
      <c r="AR3" s="1555"/>
      <c r="AS3" s="1555"/>
      <c r="AT3" s="1555"/>
      <c r="AU3" s="1555"/>
      <c r="AV3" s="1555"/>
      <c r="AW3" s="1555"/>
      <c r="AX3" s="1555"/>
      <c r="AY3" s="1555"/>
      <c r="AZ3" s="1555"/>
      <c r="BA3" s="1555"/>
      <c r="BB3" s="1555"/>
      <c r="BC3" s="1555"/>
      <c r="BD3" s="1555"/>
      <c r="BE3" s="1555"/>
      <c r="BF3" s="1555"/>
      <c r="BG3" s="1555"/>
      <c r="BH3" s="1555"/>
      <c r="BI3" s="1555"/>
      <c r="BJ3" s="1555"/>
      <c r="BK3" s="1555"/>
      <c r="BL3" s="1555"/>
      <c r="BM3" s="1555"/>
      <c r="BN3" s="1555"/>
      <c r="BO3" s="1555"/>
      <c r="BP3" s="1555"/>
      <c r="BQ3" s="1555"/>
      <c r="BR3" s="1555"/>
      <c r="BS3" s="1555"/>
      <c r="BT3" s="1555"/>
      <c r="BU3" s="1555"/>
      <c r="BV3" s="1555"/>
      <c r="BW3" s="1555"/>
    </row>
    <row r="4" ht="35.1" hidden="1" customHeight="1" spans="1:9">
      <c r="A4" s="1573"/>
      <c r="B4" s="1574" t="s">
        <v>1633</v>
      </c>
      <c r="C4" s="1575" t="s">
        <v>1634</v>
      </c>
      <c r="D4" s="1575"/>
      <c r="E4" s="1576"/>
      <c r="F4" s="1577"/>
      <c r="G4" s="1555"/>
      <c r="H4" s="1555"/>
      <c r="I4" s="1555"/>
    </row>
    <row r="5" ht="35.1" hidden="1" customHeight="1" spans="1:33">
      <c r="A5" s="1573"/>
      <c r="B5" s="1574" t="s">
        <v>429</v>
      </c>
      <c r="C5" s="1575" t="s">
        <v>1635</v>
      </c>
      <c r="D5" s="1575"/>
      <c r="E5" s="1578"/>
      <c r="F5" s="1579"/>
      <c r="H5" s="1502"/>
      <c r="I5" s="1502"/>
      <c r="J5" s="1502"/>
      <c r="K5" s="1502"/>
      <c r="L5" s="1502"/>
      <c r="M5" s="1502"/>
      <c r="N5" s="1502"/>
      <c r="O5" s="1502"/>
      <c r="P5" s="1502"/>
      <c r="Q5" s="1502"/>
      <c r="R5" s="1502"/>
      <c r="S5" s="1502"/>
      <c r="T5" s="1502"/>
      <c r="U5" s="1502"/>
      <c r="V5" s="1502"/>
      <c r="W5" s="1502"/>
      <c r="X5" s="1502"/>
      <c r="Y5" s="1502"/>
      <c r="Z5" s="1502"/>
      <c r="AA5" s="1502"/>
      <c r="AB5" s="1648" t="s">
        <v>1636</v>
      </c>
      <c r="AC5" s="1649"/>
      <c r="AD5" s="1649"/>
      <c r="AE5" s="1649"/>
      <c r="AF5" s="1649"/>
      <c r="AG5" s="1659"/>
    </row>
    <row r="6" ht="35.1" customHeight="1" spans="1:33">
      <c r="A6" s="1580" t="s">
        <v>1637</v>
      </c>
      <c r="B6" s="1581" t="s">
        <v>1638</v>
      </c>
      <c r="C6" s="1575" t="s">
        <v>1639</v>
      </c>
      <c r="D6" s="1575"/>
      <c r="E6" s="1582" t="s">
        <v>1640</v>
      </c>
      <c r="F6" s="1582"/>
      <c r="H6" s="1567" t="str">
        <f>'Thickness &amp; Weight'!C22&amp;"Typ/"&amp;'Thickness &amp; Weight'!C25&amp;"Max"</f>
        <v>2.378Typ/2.8Max</v>
      </c>
      <c r="J6" s="1624" t="s">
        <v>1641</v>
      </c>
      <c r="K6" s="1625" t="s">
        <v>900</v>
      </c>
      <c r="L6" s="1624" t="s">
        <v>1642</v>
      </c>
      <c r="M6" s="1625" t="s">
        <v>900</v>
      </c>
      <c r="N6" s="1624" t="s">
        <v>78</v>
      </c>
      <c r="O6" s="1625" t="s">
        <v>900</v>
      </c>
      <c r="P6" s="1626" t="s">
        <v>1643</v>
      </c>
      <c r="Q6" s="1641" t="s">
        <v>900</v>
      </c>
      <c r="R6" s="1624" t="s">
        <v>1644</v>
      </c>
      <c r="S6" s="1625" t="s">
        <v>900</v>
      </c>
      <c r="T6" s="1624" t="s">
        <v>1645</v>
      </c>
      <c r="U6" s="1625" t="s">
        <v>900</v>
      </c>
      <c r="V6" s="1624" t="s">
        <v>1646</v>
      </c>
      <c r="W6" s="1625" t="s">
        <v>900</v>
      </c>
      <c r="X6" s="1624" t="s">
        <v>1647</v>
      </c>
      <c r="Y6" s="1625" t="s">
        <v>900</v>
      </c>
      <c r="Z6" s="1624" t="s">
        <v>1648</v>
      </c>
      <c r="AA6" s="1625" t="s">
        <v>900</v>
      </c>
      <c r="AB6" s="1650" t="s">
        <v>1649</v>
      </c>
      <c r="AC6" s="1651" t="s">
        <v>900</v>
      </c>
      <c r="AD6" s="1650" t="s">
        <v>1650</v>
      </c>
      <c r="AE6" s="1651" t="s">
        <v>900</v>
      </c>
      <c r="AF6" s="1650" t="s">
        <v>1651</v>
      </c>
      <c r="AG6" s="1651" t="s">
        <v>900</v>
      </c>
    </row>
    <row r="7" s="1555" customFormat="1" ht="35.1" customHeight="1" spans="1:33">
      <c r="A7" s="1580"/>
      <c r="B7" s="1583" t="s">
        <v>1652</v>
      </c>
      <c r="C7" s="1575" t="s">
        <v>1653</v>
      </c>
      <c r="D7" s="1575"/>
      <c r="E7" s="1582" t="s">
        <v>1654</v>
      </c>
      <c r="F7" s="1582"/>
      <c r="H7" s="1567" t="str">
        <f>Outline_X_and_Y!L10&amp;"/"&amp;Outline_X_and_Y!D10&amp;"/"&amp;Outline_X_and_Y!D13&amp;"/"&amp;Outline_X_and_Y!L13+Outline_X_and_Y!L14</f>
        <v>2.8/2/2.3/7.2</v>
      </c>
      <c r="J7" s="1627" t="s">
        <v>910</v>
      </c>
      <c r="K7" s="1628">
        <v>1</v>
      </c>
      <c r="L7" s="1627">
        <v>0.2</v>
      </c>
      <c r="M7" s="1628">
        <v>1</v>
      </c>
      <c r="N7" s="1627" t="s">
        <v>1120</v>
      </c>
      <c r="O7" s="1628">
        <v>1</v>
      </c>
      <c r="P7" s="1627">
        <v>0.15</v>
      </c>
      <c r="Q7" s="1642"/>
      <c r="R7" s="1629" t="s">
        <v>1655</v>
      </c>
      <c r="S7" s="1643">
        <v>1</v>
      </c>
      <c r="T7" s="1629" t="s">
        <v>1656</v>
      </c>
      <c r="U7" s="1628">
        <v>1</v>
      </c>
      <c r="V7" s="1629" t="s">
        <v>1656</v>
      </c>
      <c r="W7" s="1628">
        <v>1</v>
      </c>
      <c r="X7" s="1629">
        <v>0.5</v>
      </c>
      <c r="Y7" s="1628">
        <v>0.98</v>
      </c>
      <c r="Z7" s="1629" t="s">
        <v>1657</v>
      </c>
      <c r="AA7" s="1652">
        <v>1.015</v>
      </c>
      <c r="AB7" s="1627" t="s">
        <v>1120</v>
      </c>
      <c r="AC7" s="1653">
        <v>1.1</v>
      </c>
      <c r="AD7" s="1627" t="s">
        <v>1120</v>
      </c>
      <c r="AE7" s="1654">
        <v>1.639</v>
      </c>
      <c r="AF7" s="1627" t="s">
        <v>1120</v>
      </c>
      <c r="AG7" s="1660">
        <v>1.913</v>
      </c>
    </row>
    <row r="8" ht="35.1" customHeight="1" spans="1:33">
      <c r="A8" s="1584"/>
      <c r="B8" s="1585" t="s">
        <v>1658</v>
      </c>
      <c r="C8" s="1586" t="s">
        <v>1659</v>
      </c>
      <c r="D8" s="1586"/>
      <c r="E8" s="1582" t="s">
        <v>1660</v>
      </c>
      <c r="F8" s="1582"/>
      <c r="H8" s="1567" t="str">
        <f>Outline_X_and_Y!M4&amp;"/"&amp;Outline_X_and_Y!E4&amp;"/"&amp;Outline_X_and_Y!E13&amp;"/"&amp;Outline_X_and_Y!M13</f>
        <v>2.95/3/2.85/8.5</v>
      </c>
      <c r="J8" s="1629" t="s">
        <v>1661</v>
      </c>
      <c r="K8" s="1630">
        <f>13/9</f>
        <v>1.44444444444444</v>
      </c>
      <c r="L8" s="1629">
        <v>0.4</v>
      </c>
      <c r="M8" s="1631">
        <v>1.42</v>
      </c>
      <c r="N8" s="1629" t="s">
        <v>1117</v>
      </c>
      <c r="O8" s="1632">
        <v>0.9</v>
      </c>
      <c r="P8" s="1629">
        <v>0.2</v>
      </c>
      <c r="Q8" s="1634">
        <v>1</v>
      </c>
      <c r="R8" s="1629" t="s">
        <v>1662</v>
      </c>
      <c r="S8" s="1633">
        <f>8.8/5.75</f>
        <v>1.5304347826087</v>
      </c>
      <c r="T8" s="1629" t="s">
        <v>1663</v>
      </c>
      <c r="U8" s="1632">
        <v>1.05</v>
      </c>
      <c r="V8" s="1629" t="s">
        <v>1663</v>
      </c>
      <c r="W8" s="1632">
        <v>1.05</v>
      </c>
      <c r="X8" s="1629">
        <v>0.75</v>
      </c>
      <c r="Y8" s="1632">
        <v>1</v>
      </c>
      <c r="Z8" s="1629" t="s">
        <v>1664</v>
      </c>
      <c r="AA8" s="1631">
        <v>1</v>
      </c>
      <c r="AB8" s="1629" t="s">
        <v>1117</v>
      </c>
      <c r="AC8" s="1655">
        <v>1</v>
      </c>
      <c r="AD8" s="1629" t="s">
        <v>1117</v>
      </c>
      <c r="AE8" s="1656">
        <v>1.60075499803998</v>
      </c>
      <c r="AF8" s="1629" t="s">
        <v>1117</v>
      </c>
      <c r="AG8" s="1661">
        <v>1.87475499803998</v>
      </c>
    </row>
    <row r="9" ht="35.1" customHeight="1" spans="1:33">
      <c r="A9" s="1568" t="s">
        <v>1665</v>
      </c>
      <c r="B9" s="1587" t="s">
        <v>1666</v>
      </c>
      <c r="C9" s="1570" t="s">
        <v>910</v>
      </c>
      <c r="D9" s="1588">
        <f>VLOOKUP(C9,J7:K12,2,0)</f>
        <v>1</v>
      </c>
      <c r="E9" s="1589" t="s">
        <v>910</v>
      </c>
      <c r="F9" s="1590">
        <f>VLOOKUP(E9,J7:K12,2,0)</f>
        <v>1</v>
      </c>
      <c r="H9" s="1567" t="str">
        <f>'Thickness &amp; Weight'!W6</f>
        <v>NEG</v>
      </c>
      <c r="I9" s="1502"/>
      <c r="J9" s="1629"/>
      <c r="K9" s="1632"/>
      <c r="L9" s="1629">
        <v>0.25</v>
      </c>
      <c r="M9" s="1633">
        <v>1.4</v>
      </c>
      <c r="N9" s="1629" t="s">
        <v>1112</v>
      </c>
      <c r="O9" s="1631">
        <v>2.2</v>
      </c>
      <c r="P9" s="1629">
        <v>0.25</v>
      </c>
      <c r="Q9" s="1634">
        <v>1.5</v>
      </c>
      <c r="R9" s="1629" t="s">
        <v>1667</v>
      </c>
      <c r="S9" s="1633">
        <f>8.6/5.75</f>
        <v>1.49565217391304</v>
      </c>
      <c r="T9" s="1629"/>
      <c r="U9" s="1644"/>
      <c r="V9" s="1629"/>
      <c r="W9" s="1632"/>
      <c r="X9" s="1629">
        <v>1</v>
      </c>
      <c r="Y9" s="1632">
        <v>1</v>
      </c>
      <c r="Z9" s="1629"/>
      <c r="AA9" s="1632"/>
      <c r="AB9" s="1629" t="s">
        <v>1112</v>
      </c>
      <c r="AC9" s="1655">
        <v>1.92</v>
      </c>
      <c r="AD9" s="1629" t="s">
        <v>1112</v>
      </c>
      <c r="AE9" s="1656">
        <v>1.9250876127009</v>
      </c>
      <c r="AF9" s="1629" t="s">
        <v>1112</v>
      </c>
      <c r="AG9" s="1661">
        <v>2.1990876127009</v>
      </c>
    </row>
    <row r="10" ht="35.1" customHeight="1" spans="1:33">
      <c r="A10" s="1591"/>
      <c r="B10" s="1592" t="s">
        <v>1642</v>
      </c>
      <c r="C10" s="1586">
        <v>0.2</v>
      </c>
      <c r="D10" s="1593">
        <f>VLOOKUP(C10,L7:M12,2,0)</f>
        <v>1</v>
      </c>
      <c r="E10" s="1594">
        <v>0.25</v>
      </c>
      <c r="F10" s="1595">
        <f>VLOOKUP(E10,L7:M12,2,0)</f>
        <v>1.4</v>
      </c>
      <c r="H10" s="1567">
        <f>'Thickness &amp; Weight'!C6</f>
        <v>0.3</v>
      </c>
      <c r="I10" s="1502"/>
      <c r="J10" s="1629"/>
      <c r="K10" s="1632"/>
      <c r="L10" s="1629">
        <v>0.5</v>
      </c>
      <c r="M10" s="1631" t="s">
        <v>1668</v>
      </c>
      <c r="N10" s="1629" t="s">
        <v>1110</v>
      </c>
      <c r="O10" s="1631">
        <v>1.76</v>
      </c>
      <c r="P10" s="1629">
        <v>0.3</v>
      </c>
      <c r="Q10" s="1634">
        <v>1.75</v>
      </c>
      <c r="R10" s="1629" t="s">
        <v>1669</v>
      </c>
      <c r="S10" s="1633">
        <f>9.6/5.75</f>
        <v>1.6695652173913</v>
      </c>
      <c r="T10" s="1629"/>
      <c r="U10" s="1632"/>
      <c r="V10" s="1629"/>
      <c r="W10" s="1632"/>
      <c r="X10" s="1629"/>
      <c r="Y10" s="1632"/>
      <c r="Z10" s="1629"/>
      <c r="AA10" s="1632"/>
      <c r="AB10" s="1629" t="s">
        <v>1110</v>
      </c>
      <c r="AC10" s="1655">
        <v>1.76</v>
      </c>
      <c r="AD10" s="1629" t="s">
        <v>1110</v>
      </c>
      <c r="AE10" s="1656">
        <v>1.87634398275186</v>
      </c>
      <c r="AF10" s="1629" t="s">
        <v>1110</v>
      </c>
      <c r="AG10" s="1661">
        <v>2.15034398275186</v>
      </c>
    </row>
    <row r="11" ht="35.1" customHeight="1" spans="1:33">
      <c r="A11" s="1596"/>
      <c r="B11" s="1585" t="s">
        <v>1643</v>
      </c>
      <c r="C11" s="1586">
        <v>0.3</v>
      </c>
      <c r="D11" s="1597"/>
      <c r="E11" s="1594">
        <v>0.25</v>
      </c>
      <c r="F11" s="1595" t="s">
        <v>7</v>
      </c>
      <c r="H11" s="1567">
        <f>'Thickness &amp; Weight'!C17</f>
        <v>0.25</v>
      </c>
      <c r="I11" s="1502"/>
      <c r="J11" s="1629"/>
      <c r="K11" s="1634"/>
      <c r="L11" s="1629"/>
      <c r="M11" s="1634"/>
      <c r="N11" s="1629" t="s">
        <v>1670</v>
      </c>
      <c r="O11" s="1634">
        <v>0.96</v>
      </c>
      <c r="P11" s="1629"/>
      <c r="Q11" s="1634"/>
      <c r="R11" s="1629" t="s">
        <v>1671</v>
      </c>
      <c r="S11" s="1645">
        <v>1.75</v>
      </c>
      <c r="T11" s="1629"/>
      <c r="U11" s="1634"/>
      <c r="V11" s="1629"/>
      <c r="W11" s="1634"/>
      <c r="X11" s="1629"/>
      <c r="Y11" s="1634"/>
      <c r="Z11" s="1629"/>
      <c r="AA11" s="1634"/>
      <c r="AB11" s="1629" t="s">
        <v>1670</v>
      </c>
      <c r="AC11" s="1655" t="s">
        <v>1668</v>
      </c>
      <c r="AD11" s="1629" t="s">
        <v>1672</v>
      </c>
      <c r="AE11" s="1656">
        <v>1.60075499803998</v>
      </c>
      <c r="AF11" s="1629" t="s">
        <v>1672</v>
      </c>
      <c r="AG11" s="1661">
        <v>1.87475499803998</v>
      </c>
    </row>
    <row r="12" s="1556" customFormat="1" ht="35.1" customHeight="1" spans="1:75">
      <c r="A12" s="1598"/>
      <c r="B12" s="1599" t="s">
        <v>78</v>
      </c>
      <c r="C12" s="1600" t="s">
        <v>1120</v>
      </c>
      <c r="D12" s="1601">
        <v>1.913</v>
      </c>
      <c r="E12" s="1602" t="s">
        <v>1120</v>
      </c>
      <c r="F12" s="1603">
        <f>IF(E11=0.2,VLOOKUP(E12,AB7:AC12,2,0),IF(E11=0.25,VLOOKUP(E12,AD7:AE12,2,0),IF(E11=0.3,VLOOKUP(E12,AF7:AG12,2,0))))</f>
        <v>1.639</v>
      </c>
      <c r="G12" s="1557"/>
      <c r="H12" s="1567" t="str">
        <f>'Thickness &amp; Weight'!W18</f>
        <v>DA01-H38</v>
      </c>
      <c r="I12" s="1502"/>
      <c r="J12" s="1635"/>
      <c r="K12" s="1636"/>
      <c r="L12" s="1635"/>
      <c r="M12" s="1637"/>
      <c r="N12" s="1638" t="s">
        <v>1114</v>
      </c>
      <c r="O12" s="1639" t="s">
        <v>1668</v>
      </c>
      <c r="P12" s="1640"/>
      <c r="Q12" s="1646"/>
      <c r="R12" s="1640" t="s">
        <v>1673</v>
      </c>
      <c r="S12" s="1647">
        <v>1.75</v>
      </c>
      <c r="T12" s="1635"/>
      <c r="U12" s="1636"/>
      <c r="V12" s="1635"/>
      <c r="W12" s="1636"/>
      <c r="X12" s="1635"/>
      <c r="Y12" s="1636"/>
      <c r="Z12" s="1635"/>
      <c r="AA12" s="1636"/>
      <c r="AB12" s="1638" t="s">
        <v>1114</v>
      </c>
      <c r="AC12" s="1657" t="s">
        <v>1668</v>
      </c>
      <c r="AD12" s="1638" t="s">
        <v>1114</v>
      </c>
      <c r="AE12" s="1658"/>
      <c r="AF12" s="1638" t="s">
        <v>1114</v>
      </c>
      <c r="AG12" s="1662" t="s">
        <v>1668</v>
      </c>
      <c r="AH12" s="1555"/>
      <c r="AI12" s="1555"/>
      <c r="AJ12" s="1555"/>
      <c r="AK12" s="1555"/>
      <c r="AL12" s="1555"/>
      <c r="AM12" s="1555"/>
      <c r="AN12" s="1555"/>
      <c r="AO12" s="1555"/>
      <c r="AP12" s="1555"/>
      <c r="AQ12" s="1555"/>
      <c r="AR12" s="1555"/>
      <c r="AS12" s="1555"/>
      <c r="AT12" s="1555"/>
      <c r="AU12" s="1555"/>
      <c r="AV12" s="1555"/>
      <c r="AW12" s="1555"/>
      <c r="AX12" s="1555"/>
      <c r="AY12" s="1555"/>
      <c r="AZ12" s="1555"/>
      <c r="BA12" s="1555"/>
      <c r="BB12" s="1555"/>
      <c r="BC12" s="1555"/>
      <c r="BD12" s="1555"/>
      <c r="BE12" s="1555"/>
      <c r="BF12" s="1555"/>
      <c r="BG12" s="1555"/>
      <c r="BH12" s="1555"/>
      <c r="BI12" s="1555"/>
      <c r="BJ12" s="1555"/>
      <c r="BK12" s="1555"/>
      <c r="BL12" s="1555"/>
      <c r="BM12" s="1555"/>
      <c r="BN12" s="1555"/>
      <c r="BO12" s="1555"/>
      <c r="BP12" s="1555"/>
      <c r="BQ12" s="1555"/>
      <c r="BR12" s="1555"/>
      <c r="BS12" s="1555"/>
      <c r="BT12" s="1555"/>
      <c r="BU12" s="1555"/>
      <c r="BV12" s="1555"/>
      <c r="BW12" s="1555"/>
    </row>
    <row r="13" s="1556" customFormat="1" ht="46.5" customHeight="1" spans="1:75">
      <c r="A13" s="1604" t="s">
        <v>1674</v>
      </c>
      <c r="B13" s="1599" t="s">
        <v>1675</v>
      </c>
      <c r="C13" s="1570" t="s">
        <v>1671</v>
      </c>
      <c r="D13" s="1601">
        <f>VLOOKUP(C13,R7:S12,2,0)</f>
        <v>1.75</v>
      </c>
      <c r="E13" s="1602" t="s">
        <v>1667</v>
      </c>
      <c r="F13" s="1603">
        <f>VLOOKUP(E13,R7:S12,2,0)</f>
        <v>1.49565217391304</v>
      </c>
      <c r="G13" s="1502" t="s">
        <v>1676</v>
      </c>
      <c r="H13" s="1605" t="str">
        <f>'Thickness &amp; Weight'!W18&amp;"+"&amp;'Thickness &amp; Weight'!C6&amp;"t "&amp;Outline_X_and_Y!O5&amp;"/"&amp;Outline_X_and_Y!G5&amp;"/"&amp;Outline_X_and_Y!G18&amp;"/单折"</f>
        <v>DA01-H38+0.3t 单折/单折/双折/单折</v>
      </c>
      <c r="I13" s="1502"/>
      <c r="J13" s="1623"/>
      <c r="K13" s="1623"/>
      <c r="L13" s="1623"/>
      <c r="M13" s="1623"/>
      <c r="N13" s="1623"/>
      <c r="O13" s="1623"/>
      <c r="P13" s="1623"/>
      <c r="Q13" s="1623"/>
      <c r="R13" s="1623"/>
      <c r="S13" s="1623"/>
      <c r="T13" s="1623"/>
      <c r="U13" s="1623"/>
      <c r="V13" s="1623"/>
      <c r="W13" s="1623"/>
      <c r="X13" s="1623"/>
      <c r="Y13" s="1623"/>
      <c r="Z13" s="1623"/>
      <c r="AA13" s="1623"/>
      <c r="AB13" s="1623"/>
      <c r="AC13" s="1623"/>
      <c r="AD13" s="1555"/>
      <c r="AE13" s="1555"/>
      <c r="AF13" s="1555"/>
      <c r="AG13" s="1555"/>
      <c r="AH13" s="1555"/>
      <c r="AI13" s="1555"/>
      <c r="AJ13" s="1555"/>
      <c r="AK13" s="1555"/>
      <c r="AL13" s="1555"/>
      <c r="AM13" s="1555"/>
      <c r="AN13" s="1555"/>
      <c r="AO13" s="1555"/>
      <c r="AP13" s="1555"/>
      <c r="AQ13" s="1555"/>
      <c r="AR13" s="1555"/>
      <c r="AS13" s="1555"/>
      <c r="AT13" s="1555"/>
      <c r="AU13" s="1555"/>
      <c r="AV13" s="1555"/>
      <c r="AW13" s="1555"/>
      <c r="AX13" s="1555"/>
      <c r="AY13" s="1555"/>
      <c r="AZ13" s="1555"/>
      <c r="BA13" s="1555"/>
      <c r="BB13" s="1555"/>
      <c r="BC13" s="1555"/>
      <c r="BD13" s="1555"/>
      <c r="BE13" s="1555"/>
      <c r="BF13" s="1555"/>
      <c r="BG13" s="1555"/>
      <c r="BH13" s="1555"/>
      <c r="BI13" s="1555"/>
      <c r="BJ13" s="1555"/>
      <c r="BK13" s="1555"/>
      <c r="BL13" s="1555"/>
      <c r="BM13" s="1555"/>
      <c r="BN13" s="1555"/>
      <c r="BO13" s="1555"/>
      <c r="BP13" s="1555"/>
      <c r="BQ13" s="1555"/>
      <c r="BR13" s="1555"/>
      <c r="BS13" s="1555"/>
      <c r="BT13" s="1555"/>
      <c r="BU13" s="1555"/>
      <c r="BV13" s="1555"/>
      <c r="BW13" s="1555"/>
    </row>
    <row r="14" ht="35.1" customHeight="1" spans="1:29">
      <c r="A14" s="1596"/>
      <c r="B14" s="1581" t="s">
        <v>1677</v>
      </c>
      <c r="C14" s="1575" t="s">
        <v>1656</v>
      </c>
      <c r="D14" s="1606">
        <f>VLOOKUP(C14,T7:U12,2,0)</f>
        <v>1</v>
      </c>
      <c r="E14" s="1582" t="s">
        <v>1663</v>
      </c>
      <c r="F14" s="1607">
        <f>VLOOKUP(E14,T7:U12,2,0)</f>
        <v>1.05</v>
      </c>
      <c r="H14" s="1608"/>
      <c r="I14" s="1502"/>
      <c r="J14" s="1623"/>
      <c r="K14" s="1623"/>
      <c r="L14" s="1623"/>
      <c r="M14" s="1623"/>
      <c r="N14" s="1623"/>
      <c r="O14" s="1623"/>
      <c r="P14" s="1623"/>
      <c r="Q14" s="1623"/>
      <c r="R14" s="1623"/>
      <c r="S14" s="1623"/>
      <c r="T14" s="1623"/>
      <c r="U14" s="1623"/>
      <c r="V14" s="1623"/>
      <c r="W14" s="1623"/>
      <c r="X14" s="1623"/>
      <c r="Y14" s="1623"/>
      <c r="Z14" s="1623"/>
      <c r="AA14" s="1623"/>
      <c r="AB14" s="1623"/>
      <c r="AC14" s="1623"/>
    </row>
    <row r="15" ht="35.1" customHeight="1" spans="1:29">
      <c r="A15" s="1596"/>
      <c r="B15" s="1581" t="s">
        <v>1678</v>
      </c>
      <c r="C15" s="1575" t="s">
        <v>1663</v>
      </c>
      <c r="D15" s="1609">
        <f>VLOOKUP(C15,V7:W12,2,0)</f>
        <v>1.05</v>
      </c>
      <c r="E15" s="1582" t="s">
        <v>1663</v>
      </c>
      <c r="F15" s="1607">
        <f>VLOOKUP($E$15,V7:W12,2,0)</f>
        <v>1.05</v>
      </c>
      <c r="H15" s="1608"/>
      <c r="I15" s="1502"/>
      <c r="J15" s="1623"/>
      <c r="K15" s="1623"/>
      <c r="L15" s="1623"/>
      <c r="M15" s="1623"/>
      <c r="N15" s="1623"/>
      <c r="O15" s="1623"/>
      <c r="P15" s="1623"/>
      <c r="Q15" s="1623"/>
      <c r="R15" s="1623"/>
      <c r="S15" s="1623"/>
      <c r="T15" s="1623"/>
      <c r="U15" s="1623"/>
      <c r="V15" s="1623"/>
      <c r="W15" s="1623"/>
      <c r="X15" s="1623"/>
      <c r="Y15" s="1623"/>
      <c r="Z15" s="1623"/>
      <c r="AA15" s="1623"/>
      <c r="AB15" s="1623"/>
      <c r="AC15" s="1623"/>
    </row>
    <row r="16" ht="35.1" customHeight="1" spans="1:29">
      <c r="A16" s="1596"/>
      <c r="B16" s="1581" t="s">
        <v>1648</v>
      </c>
      <c r="C16" s="1610" t="s">
        <v>1664</v>
      </c>
      <c r="D16" s="1609">
        <f>VLOOKUP(C16,Z7:AA12,2,0)</f>
        <v>1</v>
      </c>
      <c r="E16" s="1582" t="s">
        <v>1664</v>
      </c>
      <c r="F16" s="1607">
        <f>VLOOKUP($E$16,Z7:AA12,2,0)</f>
        <v>1</v>
      </c>
      <c r="H16" s="1608"/>
      <c r="I16" s="1502"/>
      <c r="J16" s="1623"/>
      <c r="K16" s="1623"/>
      <c r="L16" s="1623"/>
      <c r="M16" s="1623"/>
      <c r="N16" s="1623"/>
      <c r="O16" s="1623"/>
      <c r="P16" s="1623"/>
      <c r="Q16" s="1623"/>
      <c r="R16" s="1623"/>
      <c r="S16" s="1623"/>
      <c r="T16" s="1623"/>
      <c r="U16" s="1623"/>
      <c r="V16" s="1623"/>
      <c r="W16" s="1623"/>
      <c r="X16" s="1623"/>
      <c r="Y16" s="1623"/>
      <c r="Z16" s="1623"/>
      <c r="AA16" s="1623"/>
      <c r="AB16" s="1623"/>
      <c r="AC16" s="1623"/>
    </row>
    <row r="17" ht="35.1" customHeight="1" spans="1:29">
      <c r="A17" s="1596"/>
      <c r="B17" s="1585" t="s">
        <v>1679</v>
      </c>
      <c r="C17" s="1586">
        <v>0.5</v>
      </c>
      <c r="D17" s="1593">
        <f>VLOOKUP(C17,X7:Y12,2,0)</f>
        <v>0.98</v>
      </c>
      <c r="E17" s="1611">
        <v>0.75</v>
      </c>
      <c r="F17" s="1595">
        <f>IF($E$17&lt;=0.75,0.08*$E$17+0.94,1)</f>
        <v>1</v>
      </c>
      <c r="H17" s="1567">
        <f>Outline_X_and_Y!R49</f>
        <v>0.5</v>
      </c>
      <c r="I17" s="1502"/>
      <c r="J17" s="1623"/>
      <c r="K17" s="1623"/>
      <c r="L17" s="1623"/>
      <c r="M17" s="1623"/>
      <c r="N17" s="1623"/>
      <c r="O17" s="1623"/>
      <c r="P17" s="1623"/>
      <c r="Q17" s="1623"/>
      <c r="R17" s="1623"/>
      <c r="S17" s="1623"/>
      <c r="T17" s="1623"/>
      <c r="U17" s="1623"/>
      <c r="V17" s="1623"/>
      <c r="W17" s="1623"/>
      <c r="X17" s="1623"/>
      <c r="Y17" s="1623"/>
      <c r="Z17" s="1623"/>
      <c r="AA17" s="1623"/>
      <c r="AB17" s="1623"/>
      <c r="AC17" s="1623"/>
    </row>
    <row r="18" ht="35.1" customHeight="1" spans="1:29">
      <c r="A18" s="1596"/>
      <c r="B18" s="1581"/>
      <c r="C18" s="1575" t="s">
        <v>1680</v>
      </c>
      <c r="D18" s="1609">
        <f>IF(($D$15*$D$16*$D$17)&gt;=$D$14*$D$13,$D$14*$D$13,($D$15*$D$16*$D$17))</f>
        <v>1.029</v>
      </c>
      <c r="E18" s="1575" t="s">
        <v>1680</v>
      </c>
      <c r="F18" s="1609">
        <f>IF(($F$15*$F$16*$F$17)&gt;=$F$14*$F$13,$F$14*$F$13,($F$15*$F$16*$F$17))</f>
        <v>1.05</v>
      </c>
      <c r="I18" s="1502"/>
      <c r="J18" s="1623"/>
      <c r="K18" s="1623"/>
      <c r="L18" s="1623"/>
      <c r="M18" s="1623"/>
      <c r="N18" s="1623"/>
      <c r="O18" s="1623"/>
      <c r="P18" s="1623"/>
      <c r="Q18" s="1623"/>
      <c r="R18" s="1623"/>
      <c r="S18" s="1623"/>
      <c r="T18" s="1623"/>
      <c r="U18" s="1623"/>
      <c r="V18" s="1623"/>
      <c r="W18" s="1623"/>
      <c r="X18" s="1623"/>
      <c r="Y18" s="1623"/>
      <c r="Z18" s="1623"/>
      <c r="AA18" s="1623"/>
      <c r="AB18" s="1623"/>
      <c r="AC18" s="1623"/>
    </row>
    <row r="19" ht="35.1" customHeight="1" spans="1:29">
      <c r="A19" s="1612" t="s">
        <v>1681</v>
      </c>
      <c r="B19" s="1613"/>
      <c r="C19" s="1614" t="s">
        <v>1682</v>
      </c>
      <c r="D19" s="1615">
        <f>$D$9*$D$10*$D$12*$D$18</f>
        <v>1.968477</v>
      </c>
      <c r="E19" s="1614" t="s">
        <v>900</v>
      </c>
      <c r="F19" s="1616">
        <f>$F$9*$F$10*$F$12*$F$18</f>
        <v>2.40933</v>
      </c>
      <c r="I19" s="1502"/>
      <c r="J19" s="1623"/>
      <c r="K19" s="1623"/>
      <c r="L19" s="1623"/>
      <c r="M19" s="1623"/>
      <c r="N19" s="1623"/>
      <c r="O19" s="1623"/>
      <c r="P19" s="1623"/>
      <c r="Q19" s="1623"/>
      <c r="R19" s="1623"/>
      <c r="S19" s="1623"/>
      <c r="T19" s="1623"/>
      <c r="U19" s="1623"/>
      <c r="V19" s="1623"/>
      <c r="W19" s="1623"/>
      <c r="X19" s="1623"/>
      <c r="Y19" s="1623"/>
      <c r="Z19" s="1623"/>
      <c r="AA19" s="1623"/>
      <c r="AB19" s="1623"/>
      <c r="AC19" s="1623"/>
    </row>
    <row r="20" ht="35.1" customHeight="1" spans="1:29">
      <c r="A20" s="1596"/>
      <c r="B20" s="1617"/>
      <c r="C20" s="1614" t="s">
        <v>1683</v>
      </c>
      <c r="D20" s="1618" t="str">
        <f>IF(($D$15*$D$16*$D$17)&gt;=$D$14*$D$13,"U/L/R","DP")</f>
        <v>DP</v>
      </c>
      <c r="E20" s="1614" t="s">
        <v>1683</v>
      </c>
      <c r="F20" s="1618" t="str">
        <f>IF(($F$15*$F$16*$F$17)&gt;=$F$14*$F$13,"U/L/R","DP")</f>
        <v>DP</v>
      </c>
      <c r="I20" s="1502"/>
      <c r="J20" s="1623"/>
      <c r="K20" s="1623"/>
      <c r="L20" s="1623"/>
      <c r="M20" s="1623"/>
      <c r="N20" s="1623"/>
      <c r="O20" s="1623"/>
      <c r="P20" s="1623"/>
      <c r="Q20" s="1623"/>
      <c r="R20" s="1623"/>
      <c r="S20" s="1623"/>
      <c r="T20" s="1623"/>
      <c r="U20" s="1623"/>
      <c r="V20" s="1623"/>
      <c r="W20" s="1623"/>
      <c r="X20" s="1623"/>
      <c r="Y20" s="1623"/>
      <c r="Z20" s="1623"/>
      <c r="AA20" s="1623"/>
      <c r="AB20" s="1623"/>
      <c r="AC20" s="1623"/>
    </row>
    <row r="21" ht="35.1" customHeight="1" spans="1:29">
      <c r="A21" s="1619"/>
      <c r="B21" s="1592"/>
      <c r="C21" s="1620" t="s">
        <v>1684</v>
      </c>
      <c r="D21" s="1621">
        <v>8</v>
      </c>
      <c r="E21" s="1614" t="s">
        <v>1685</v>
      </c>
      <c r="F21" s="1622">
        <f>0.97*$F$19/$D$19*$D$21</f>
        <v>9.49790157568516</v>
      </c>
      <c r="G21" s="1623"/>
      <c r="H21" s="1623"/>
      <c r="I21" s="1502"/>
      <c r="J21" s="1623"/>
      <c r="K21" s="1623"/>
      <c r="L21" s="1623"/>
      <c r="M21" s="1623"/>
      <c r="N21" s="1623"/>
      <c r="O21" s="1623"/>
      <c r="P21" s="1623"/>
      <c r="Q21" s="1623"/>
      <c r="R21" s="1623"/>
      <c r="S21" s="1623"/>
      <c r="T21" s="1623"/>
      <c r="U21" s="1623"/>
      <c r="V21" s="1623"/>
      <c r="W21" s="1623"/>
      <c r="X21" s="1623"/>
      <c r="Y21" s="1623"/>
      <c r="Z21" s="1623"/>
      <c r="AA21" s="1623"/>
      <c r="AB21" s="1623"/>
      <c r="AC21" s="1623"/>
    </row>
    <row r="22" customHeight="1" spans="9:29">
      <c r="I22" s="1502"/>
      <c r="J22" s="1623"/>
      <c r="K22" s="1623"/>
      <c r="L22" s="1623"/>
      <c r="M22" s="1623"/>
      <c r="N22" s="1623"/>
      <c r="O22" s="1623"/>
      <c r="P22" s="1623"/>
      <c r="Q22" s="1623"/>
      <c r="R22" s="1623"/>
      <c r="S22" s="1623"/>
      <c r="T22" s="1623"/>
      <c r="U22" s="1623"/>
      <c r="V22" s="1623"/>
      <c r="W22" s="1623"/>
      <c r="X22" s="1623"/>
      <c r="Y22" s="1623"/>
      <c r="Z22" s="1623"/>
      <c r="AA22" s="1623"/>
      <c r="AB22" s="1623"/>
      <c r="AC22" s="1623"/>
    </row>
    <row r="23" customHeight="1" spans="10:29">
      <c r="J23" s="1623"/>
      <c r="K23" s="1623"/>
      <c r="L23" s="1623"/>
      <c r="M23" s="1623"/>
      <c r="N23" s="1623"/>
      <c r="O23" s="1623"/>
      <c r="P23" s="1623"/>
      <c r="Q23" s="1623"/>
      <c r="R23" s="1623"/>
      <c r="S23" s="1623"/>
      <c r="T23" s="1623"/>
      <c r="U23" s="1623"/>
      <c r="V23" s="1623"/>
      <c r="W23" s="1623"/>
      <c r="X23" s="1623"/>
      <c r="Y23" s="1623"/>
      <c r="Z23" s="1623"/>
      <c r="AA23" s="1623"/>
      <c r="AB23" s="1623"/>
      <c r="AC23" s="1623"/>
    </row>
    <row r="24" customHeight="1" spans="10:29">
      <c r="J24" s="1623"/>
      <c r="K24" s="1623"/>
      <c r="L24" s="1623"/>
      <c r="M24" s="1623"/>
      <c r="N24" s="1623"/>
      <c r="O24" s="1623"/>
      <c r="P24" s="1623"/>
      <c r="Q24" s="1623"/>
      <c r="R24" s="1623"/>
      <c r="S24" s="1623"/>
      <c r="T24" s="1623"/>
      <c r="U24" s="1623"/>
      <c r="V24" s="1623"/>
      <c r="W24" s="1623"/>
      <c r="X24" s="1623"/>
      <c r="Y24" s="1623"/>
      <c r="Z24" s="1623"/>
      <c r="AA24" s="1623"/>
      <c r="AB24" s="1623"/>
      <c r="AC24" s="1623"/>
    </row>
    <row r="25" customHeight="1" spans="10:29">
      <c r="J25" s="1623"/>
      <c r="K25" s="1623"/>
      <c r="L25" s="1623"/>
      <c r="M25" s="1623"/>
      <c r="N25" s="1623"/>
      <c r="O25" s="1623"/>
      <c r="P25" s="1623"/>
      <c r="Q25" s="1623"/>
      <c r="R25" s="1623"/>
      <c r="S25" s="1623"/>
      <c r="T25" s="1623"/>
      <c r="U25" s="1623"/>
      <c r="V25" s="1623"/>
      <c r="W25" s="1623"/>
      <c r="X25" s="1623"/>
      <c r="Y25" s="1623"/>
      <c r="Z25" s="1623"/>
      <c r="AA25" s="1623"/>
      <c r="AB25" s="1623"/>
      <c r="AC25" s="1623"/>
    </row>
    <row r="26" customHeight="1" spans="10:29">
      <c r="J26" s="1623"/>
      <c r="K26" s="1623"/>
      <c r="L26" s="1623"/>
      <c r="M26" s="1623"/>
      <c r="N26" s="1623"/>
      <c r="O26" s="1623"/>
      <c r="P26" s="1623"/>
      <c r="Q26" s="1623"/>
      <c r="R26" s="1623"/>
      <c r="S26" s="1623"/>
      <c r="T26" s="1623"/>
      <c r="U26" s="1623"/>
      <c r="V26" s="1623"/>
      <c r="W26" s="1623"/>
      <c r="X26" s="1623"/>
      <c r="Y26" s="1623"/>
      <c r="Z26" s="1623"/>
      <c r="AA26" s="1623"/>
      <c r="AB26" s="1623"/>
      <c r="AC26" s="1623"/>
    </row>
    <row r="27" customHeight="1" spans="10:29">
      <c r="J27" s="1623"/>
      <c r="K27" s="1623"/>
      <c r="L27" s="1623"/>
      <c r="M27" s="1623"/>
      <c r="N27" s="1623"/>
      <c r="O27" s="1623"/>
      <c r="P27" s="1623"/>
      <c r="Q27" s="1623"/>
      <c r="R27" s="1623"/>
      <c r="S27" s="1623"/>
      <c r="T27" s="1623"/>
      <c r="U27" s="1623"/>
      <c r="V27" s="1623"/>
      <c r="W27" s="1623"/>
      <c r="X27" s="1623"/>
      <c r="Y27" s="1623"/>
      <c r="Z27" s="1623"/>
      <c r="AA27" s="1623"/>
      <c r="AB27" s="1623"/>
      <c r="AC27" s="1623"/>
    </row>
    <row r="28" customHeight="1" spans="10:29">
      <c r="J28" s="1623"/>
      <c r="K28" s="1623"/>
      <c r="L28" s="1623"/>
      <c r="M28" s="1623"/>
      <c r="N28" s="1623"/>
      <c r="O28" s="1623"/>
      <c r="P28" s="1623"/>
      <c r="Q28" s="1623"/>
      <c r="R28" s="1623"/>
      <c r="S28" s="1623"/>
      <c r="T28" s="1623"/>
      <c r="U28" s="1623"/>
      <c r="V28" s="1623"/>
      <c r="W28" s="1623"/>
      <c r="X28" s="1623"/>
      <c r="Y28" s="1623"/>
      <c r="Z28" s="1623"/>
      <c r="AA28" s="1623"/>
      <c r="AB28" s="1623"/>
      <c r="AC28" s="1623"/>
    </row>
    <row r="29" customHeight="1" spans="10:29">
      <c r="J29" s="1623"/>
      <c r="K29" s="1623"/>
      <c r="L29" s="1623"/>
      <c r="M29" s="1623"/>
      <c r="N29" s="1623"/>
      <c r="O29" s="1623"/>
      <c r="P29" s="1623"/>
      <c r="Q29" s="1623"/>
      <c r="R29" s="1623"/>
      <c r="S29" s="1623"/>
      <c r="T29" s="1623"/>
      <c r="U29" s="1623"/>
      <c r="V29" s="1623"/>
      <c r="W29" s="1623"/>
      <c r="X29" s="1623"/>
      <c r="Y29" s="1623"/>
      <c r="Z29" s="1623"/>
      <c r="AA29" s="1623"/>
      <c r="AB29" s="1623"/>
      <c r="AC29" s="1623"/>
    </row>
    <row r="30" customHeight="1" spans="10:29">
      <c r="J30" s="1623"/>
      <c r="K30" s="1623"/>
      <c r="L30" s="1623"/>
      <c r="M30" s="1623"/>
      <c r="N30" s="1623"/>
      <c r="O30" s="1623"/>
      <c r="P30" s="1623"/>
      <c r="Q30" s="1623"/>
      <c r="R30" s="1623"/>
      <c r="S30" s="1623"/>
      <c r="T30" s="1623"/>
      <c r="U30" s="1623"/>
      <c r="V30" s="1623"/>
      <c r="W30" s="1623"/>
      <c r="X30" s="1623"/>
      <c r="Y30" s="1623"/>
      <c r="Z30" s="1623"/>
      <c r="AA30" s="1623"/>
      <c r="AB30" s="1623"/>
      <c r="AC30" s="1623"/>
    </row>
    <row r="31" customHeight="1" spans="9:29">
      <c r="I31" s="1502"/>
      <c r="J31" s="1623"/>
      <c r="K31" s="1623"/>
      <c r="L31" s="1623"/>
      <c r="M31" s="1623"/>
      <c r="N31" s="1623"/>
      <c r="O31" s="1623"/>
      <c r="P31" s="1623"/>
      <c r="Q31" s="1623"/>
      <c r="R31" s="1623"/>
      <c r="S31" s="1623"/>
      <c r="T31" s="1623"/>
      <c r="U31" s="1623"/>
      <c r="V31" s="1623"/>
      <c r="W31" s="1623"/>
      <c r="X31" s="1623"/>
      <c r="Y31" s="1623"/>
      <c r="Z31" s="1623"/>
      <c r="AA31" s="1623"/>
      <c r="AB31" s="1623"/>
      <c r="AC31" s="1623"/>
    </row>
    <row r="32" customHeight="1" spans="9:29">
      <c r="I32" s="1502"/>
      <c r="J32" s="1623"/>
      <c r="K32" s="1623"/>
      <c r="L32" s="1623"/>
      <c r="M32" s="1623"/>
      <c r="N32" s="1623"/>
      <c r="O32" s="1623"/>
      <c r="P32" s="1623"/>
      <c r="Q32" s="1623"/>
      <c r="R32" s="1623"/>
      <c r="S32" s="1623"/>
      <c r="T32" s="1623"/>
      <c r="U32" s="1623"/>
      <c r="V32" s="1623"/>
      <c r="W32" s="1623"/>
      <c r="X32" s="1623"/>
      <c r="Y32" s="1623"/>
      <c r="Z32" s="1623"/>
      <c r="AA32" s="1623"/>
      <c r="AB32" s="1623"/>
      <c r="AC32" s="1623"/>
    </row>
    <row r="33" customHeight="1" spans="9:29">
      <c r="I33" s="1502"/>
      <c r="J33" s="1623"/>
      <c r="K33" s="1623"/>
      <c r="L33" s="1623"/>
      <c r="M33" s="1623"/>
      <c r="N33" s="1623"/>
      <c r="O33" s="1623"/>
      <c r="P33" s="1623"/>
      <c r="Q33" s="1623"/>
      <c r="R33" s="1623"/>
      <c r="S33" s="1623"/>
      <c r="T33" s="1623"/>
      <c r="U33" s="1623"/>
      <c r="V33" s="1623"/>
      <c r="W33" s="1623"/>
      <c r="X33" s="1623"/>
      <c r="Y33" s="1623"/>
      <c r="Z33" s="1623"/>
      <c r="AA33" s="1623"/>
      <c r="AB33" s="1623"/>
      <c r="AC33" s="1623"/>
    </row>
    <row r="34" customHeight="1" spans="9:29">
      <c r="I34" s="1502"/>
      <c r="J34" s="1623"/>
      <c r="K34" s="1623"/>
      <c r="L34" s="1623"/>
      <c r="M34" s="1623"/>
      <c r="N34" s="1623"/>
      <c r="O34" s="1623"/>
      <c r="P34" s="1623"/>
      <c r="Q34" s="1623"/>
      <c r="R34" s="1623"/>
      <c r="S34" s="1623"/>
      <c r="T34" s="1623"/>
      <c r="U34" s="1623"/>
      <c r="V34" s="1623"/>
      <c r="W34" s="1623"/>
      <c r="X34" s="1623"/>
      <c r="Y34" s="1623"/>
      <c r="Z34" s="1623"/>
      <c r="AA34" s="1623"/>
      <c r="AB34" s="1623"/>
      <c r="AC34" s="1623"/>
    </row>
    <row r="35" customHeight="1" spans="9:9">
      <c r="I35" s="1502"/>
    </row>
  </sheetData>
  <mergeCells count="23">
    <mergeCell ref="C1:D1"/>
    <mergeCell ref="E1:F1"/>
    <mergeCell ref="C3:D3"/>
    <mergeCell ref="E3:F3"/>
    <mergeCell ref="C4:D4"/>
    <mergeCell ref="E4:F4"/>
    <mergeCell ref="C5:D5"/>
    <mergeCell ref="E5:F5"/>
    <mergeCell ref="AB5:AG5"/>
    <mergeCell ref="C6:D6"/>
    <mergeCell ref="E6:F6"/>
    <mergeCell ref="C7:D7"/>
    <mergeCell ref="E7:F7"/>
    <mergeCell ref="C8:D8"/>
    <mergeCell ref="E8:F8"/>
    <mergeCell ref="A1:A2"/>
    <mergeCell ref="A3:A5"/>
    <mergeCell ref="A6:A8"/>
    <mergeCell ref="A9:A10"/>
    <mergeCell ref="A11:A12"/>
    <mergeCell ref="A13:A18"/>
    <mergeCell ref="B1:B2"/>
    <mergeCell ref="A19:B21"/>
  </mergeCells>
  <dataValidations count="8">
    <dataValidation type="list" allowBlank="1" showInputMessage="1" showErrorMessage="1" sqref="E14">
      <formula1>$T$7:$T$8</formula1>
    </dataValidation>
    <dataValidation type="list" allowBlank="1" showInputMessage="1" showErrorMessage="1" sqref="E9">
      <formula1>$J$7:$J$8</formula1>
    </dataValidation>
    <dataValidation type="list" allowBlank="1" showInputMessage="1" showErrorMessage="1" sqref="E13">
      <formula1>$R$7:$R$12</formula1>
    </dataValidation>
    <dataValidation type="list" allowBlank="1" showInputMessage="1" showErrorMessage="1" sqref="E10">
      <formula1>"0.15,0.2,0.25,0.4,0.5"</formula1>
    </dataValidation>
    <dataValidation type="list" allowBlank="1" showInputMessage="1" showErrorMessage="1" sqref="E15">
      <formula1>$V$7:$V$8</formula1>
    </dataValidation>
    <dataValidation type="list" allowBlank="1" showInputMessage="1" showErrorMessage="1" sqref="C12 E12">
      <formula1>$N$7:$N$12</formula1>
    </dataValidation>
    <dataValidation type="list" allowBlank="1" showInputMessage="1" showErrorMessage="1" sqref="E11">
      <formula1>$P$7:$P$10</formula1>
    </dataValidation>
    <dataValidation type="list" allowBlank="1" showInputMessage="1" showErrorMessage="1" sqref="C16 E16">
      <formula1>$Z$7:$Z$8</formula1>
    </dataValidation>
  </dataValidations>
  <pageMargins left="0.7" right="0.7" top="0.75" bottom="0.75" header="0.3" footer="0.3"/>
  <pageSetup paperSize="9" orientation="portrait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2" tint="-0.249977111117893"/>
  </sheetPr>
  <dimension ref="B1:AG38"/>
  <sheetViews>
    <sheetView zoomScale="85" zoomScaleNormal="85" workbookViewId="0">
      <selection activeCell="H7" sqref="H7"/>
    </sheetView>
  </sheetViews>
  <sheetFormatPr defaultColWidth="9" defaultRowHeight="14.4"/>
  <cols>
    <col min="1" max="2" width="9" style="1502"/>
    <col min="3" max="3" width="21.1111111111111" style="1502" customWidth="1"/>
    <col min="4" max="7" width="19.6666666666667" style="1502" customWidth="1"/>
    <col min="8" max="8" width="10.1111111111111" style="1502" customWidth="1"/>
    <col min="9" max="9" width="12.2222222222222" style="1453" customWidth="1"/>
    <col min="10" max="15" width="9" style="1502" customWidth="1"/>
    <col min="16" max="17" width="9" style="1502"/>
    <col min="18" max="18" width="15.7777777777778" style="1502" customWidth="1"/>
    <col min="19" max="19" width="9" style="1502"/>
    <col min="20" max="20" width="18.4444444444444" style="1502" customWidth="1"/>
    <col min="21" max="16384" width="9" style="1502"/>
  </cols>
  <sheetData>
    <row r="1" spans="9:9">
      <c r="I1" s="1453" t="s">
        <v>1628</v>
      </c>
    </row>
    <row r="2" ht="16.35" spans="2:33">
      <c r="B2" s="1503" t="s">
        <v>1489</v>
      </c>
      <c r="C2" s="1503" t="s">
        <v>1625</v>
      </c>
      <c r="D2" s="1504" t="s">
        <v>1686</v>
      </c>
      <c r="E2" s="1504"/>
      <c r="F2" s="1505" t="s">
        <v>1687</v>
      </c>
      <c r="G2" s="1505"/>
      <c r="I2" s="1526" t="str">
        <f>亮度與BLU功耗!E6</f>
        <v>13.0华南向</v>
      </c>
      <c r="J2" s="1527" t="s">
        <v>1688</v>
      </c>
      <c r="K2" s="1528"/>
      <c r="L2" s="1528"/>
      <c r="M2" s="1528"/>
      <c r="N2" s="1528"/>
      <c r="P2" s="1529" t="s">
        <v>1689</v>
      </c>
      <c r="Q2" s="1536"/>
      <c r="R2" s="1536"/>
      <c r="S2" s="1536"/>
      <c r="T2" s="1536"/>
      <c r="U2" s="1418"/>
      <c r="V2" s="1418"/>
      <c r="W2" s="1418"/>
      <c r="X2" s="1418"/>
      <c r="Y2" s="1418"/>
      <c r="Z2" s="1418"/>
      <c r="AA2" s="1418"/>
      <c r="AB2" s="1418"/>
      <c r="AC2" s="1418"/>
      <c r="AD2" s="1418"/>
      <c r="AE2" s="1418"/>
      <c r="AF2" s="1418"/>
      <c r="AG2" s="1418"/>
    </row>
    <row r="3" ht="46.8" spans="2:33">
      <c r="B3" s="1506"/>
      <c r="C3" s="1506"/>
      <c r="D3" s="1507" t="s">
        <v>1629</v>
      </c>
      <c r="E3" s="1507" t="s">
        <v>1630</v>
      </c>
      <c r="F3" s="1506" t="s">
        <v>1629</v>
      </c>
      <c r="G3" s="1506" t="s">
        <v>900</v>
      </c>
      <c r="I3" s="1530"/>
      <c r="J3" s="1528"/>
      <c r="K3" s="1528"/>
      <c r="L3" s="1528"/>
      <c r="M3" s="1528"/>
      <c r="N3" s="1528"/>
      <c r="P3" s="1531" t="s">
        <v>1690</v>
      </c>
      <c r="Q3" s="1537" t="s">
        <v>900</v>
      </c>
      <c r="R3" s="1537" t="s">
        <v>1691</v>
      </c>
      <c r="S3" s="1537" t="s">
        <v>900</v>
      </c>
      <c r="T3" s="1537" t="s">
        <v>1692</v>
      </c>
      <c r="U3" s="1538" t="s">
        <v>900</v>
      </c>
      <c r="V3" s="1539" t="s">
        <v>1693</v>
      </c>
      <c r="W3" s="1540" t="s">
        <v>900</v>
      </c>
      <c r="X3" s="1541" t="s">
        <v>1694</v>
      </c>
      <c r="Y3" s="1548" t="s">
        <v>1695</v>
      </c>
      <c r="Z3" s="1548" t="s">
        <v>1696</v>
      </c>
      <c r="AA3" s="1549" t="s">
        <v>1695</v>
      </c>
      <c r="AB3" s="1418"/>
      <c r="AC3" s="1550" t="s">
        <v>1697</v>
      </c>
      <c r="AD3" s="1551"/>
      <c r="AE3" s="1551"/>
      <c r="AF3" s="1551"/>
      <c r="AG3" s="1551"/>
    </row>
    <row r="4" ht="15" spans="2:33">
      <c r="B4" s="1506" t="s">
        <v>1637</v>
      </c>
      <c r="C4" s="1506" t="s">
        <v>1638</v>
      </c>
      <c r="D4" s="1508">
        <v>2.6</v>
      </c>
      <c r="E4" s="1509"/>
      <c r="F4" s="1510">
        <v>2.2</v>
      </c>
      <c r="G4" s="1510"/>
      <c r="I4" s="1526">
        <f>'Thickness &amp; Weight'!C22</f>
        <v>2.378</v>
      </c>
      <c r="J4" s="1528"/>
      <c r="K4" s="1528"/>
      <c r="L4" s="1528"/>
      <c r="M4" s="1528"/>
      <c r="N4" s="1528"/>
      <c r="P4" s="1511" t="s">
        <v>1698</v>
      </c>
      <c r="Q4" s="1542">
        <v>1</v>
      </c>
      <c r="R4" s="1543" t="s">
        <v>1699</v>
      </c>
      <c r="S4" s="1544">
        <v>0.962962962962963</v>
      </c>
      <c r="T4" s="1543" t="s">
        <v>1700</v>
      </c>
      <c r="U4" s="1543">
        <v>0.962962962962963</v>
      </c>
      <c r="V4" s="1533" t="s">
        <v>1701</v>
      </c>
      <c r="W4" s="1543">
        <v>0.545454545454545</v>
      </c>
      <c r="X4" s="1506" t="s">
        <v>1702</v>
      </c>
      <c r="Y4" s="1533">
        <v>1</v>
      </c>
      <c r="Z4" s="1533">
        <v>0.5</v>
      </c>
      <c r="AA4" s="1544" t="s">
        <v>1668</v>
      </c>
      <c r="AB4" s="1418"/>
      <c r="AC4" s="1551"/>
      <c r="AD4" s="1551"/>
      <c r="AE4" s="1551"/>
      <c r="AF4" s="1551"/>
      <c r="AG4" s="1551"/>
    </row>
    <row r="5" ht="15" spans="2:33">
      <c r="B5" s="1506"/>
      <c r="C5" s="1506" t="s">
        <v>1703</v>
      </c>
      <c r="D5" s="1508" t="s">
        <v>1704</v>
      </c>
      <c r="E5" s="1509"/>
      <c r="F5" s="1510" t="s">
        <v>1654</v>
      </c>
      <c r="G5" s="1510"/>
      <c r="I5" s="1526" t="str">
        <f>Outline_X_and_Y!L10&amp;"/"&amp;Outline_X_and_Y!D10&amp;"/"&amp;Outline_X_and_Y!D13&amp;"/"&amp;Outline_X_and_Y!L13+Outline_X_and_Y!L14</f>
        <v>2.8/2/2.3/7.2</v>
      </c>
      <c r="J5" s="1528"/>
      <c r="K5" s="1528"/>
      <c r="L5" s="1528"/>
      <c r="M5" s="1528"/>
      <c r="N5" s="1528"/>
      <c r="P5" s="1511" t="s">
        <v>1107</v>
      </c>
      <c r="Q5" s="1542">
        <v>1</v>
      </c>
      <c r="R5" s="1543" t="s">
        <v>1705</v>
      </c>
      <c r="S5" s="1544">
        <v>0.981481481481482</v>
      </c>
      <c r="T5" s="1543" t="s">
        <v>1706</v>
      </c>
      <c r="U5" s="1543">
        <v>1.09777777777778</v>
      </c>
      <c r="V5" s="1533" t="s">
        <v>1707</v>
      </c>
      <c r="W5" s="1543">
        <v>0.509090909090909</v>
      </c>
      <c r="X5" s="1506" t="s">
        <v>1708</v>
      </c>
      <c r="Y5" s="1543">
        <v>0.985294117647059</v>
      </c>
      <c r="Z5" s="1533">
        <v>0.4</v>
      </c>
      <c r="AA5" s="1552">
        <v>0.769230769230769</v>
      </c>
      <c r="AB5" s="1418"/>
      <c r="AC5" s="1551"/>
      <c r="AD5" s="1551"/>
      <c r="AE5" s="1551"/>
      <c r="AF5" s="1551"/>
      <c r="AG5" s="1551"/>
    </row>
    <row r="6" ht="15.6" spans="2:33">
      <c r="B6" s="1506"/>
      <c r="C6" s="1511" t="s">
        <v>1658</v>
      </c>
      <c r="D6" s="1508" t="s">
        <v>1660</v>
      </c>
      <c r="E6" s="1509"/>
      <c r="F6" s="1512" t="s">
        <v>1709</v>
      </c>
      <c r="G6" s="1512"/>
      <c r="I6" s="1526" t="str">
        <f>Outline_X_and_Y!M4&amp;"/"&amp;Outline_X_and_Y!E4&amp;"/"&amp;Outline_X_and_Y!E13&amp;"/"&amp;Outline_X_and_Y!M13</f>
        <v>2.95/3/2.85/8.5</v>
      </c>
      <c r="J6" s="1528"/>
      <c r="K6" s="1528"/>
      <c r="L6" s="1528"/>
      <c r="M6" s="1528"/>
      <c r="N6" s="1528"/>
      <c r="P6" s="1511" t="s">
        <v>1710</v>
      </c>
      <c r="Q6" s="1542">
        <v>1.16</v>
      </c>
      <c r="R6" s="1543" t="s">
        <v>1711</v>
      </c>
      <c r="S6" s="1543">
        <v>1</v>
      </c>
      <c r="T6" s="1543" t="s">
        <v>1712</v>
      </c>
      <c r="U6" s="1543">
        <v>0.981481481481482</v>
      </c>
      <c r="V6" s="1533" t="s">
        <v>1713</v>
      </c>
      <c r="W6" s="1543">
        <v>0.454545454545455</v>
      </c>
      <c r="X6" s="1506" t="s">
        <v>1047</v>
      </c>
      <c r="Y6" s="1543">
        <v>0.838235294117647</v>
      </c>
      <c r="Z6" s="1533">
        <v>0.25</v>
      </c>
      <c r="AA6" s="1552">
        <v>1</v>
      </c>
      <c r="AB6" s="1418"/>
      <c r="AC6" s="1551"/>
      <c r="AD6" s="1551"/>
      <c r="AE6" s="1551"/>
      <c r="AF6" s="1551"/>
      <c r="AG6" s="1551"/>
    </row>
    <row r="7" ht="48" customHeight="1" spans="2:33">
      <c r="B7" s="1513" t="s">
        <v>1714</v>
      </c>
      <c r="C7" s="1514" t="s">
        <v>1715</v>
      </c>
      <c r="D7" s="1507" t="s">
        <v>1716</v>
      </c>
      <c r="E7" s="1507">
        <f>VLOOKUP(D7,T4:U19,2,0)</f>
        <v>1</v>
      </c>
      <c r="F7" s="1515" t="s">
        <v>1717</v>
      </c>
      <c r="G7" s="1507">
        <f>VLOOKUP(F7,T4:U19,2,0)</f>
        <v>0.92506329113924</v>
      </c>
      <c r="H7" s="1502" t="s">
        <v>1676</v>
      </c>
      <c r="I7" s="1532" t="str">
        <f>'Thickness &amp; Weight'!W18&amp;"+"&amp;'Thickness &amp; Weight'!C6&amp;"t "&amp;Outline_X_and_Y!O5&amp;"/"&amp;Outline_X_and_Y!G5&amp;"/"&amp;Outline_X_and_Y!G18&amp;"/单折"</f>
        <v>DA01-H38+0.3t 单折/单折/双折/单折</v>
      </c>
      <c r="J7" s="1528"/>
      <c r="K7" s="1528"/>
      <c r="L7" s="1528"/>
      <c r="M7" s="1528"/>
      <c r="N7" s="1528"/>
      <c r="P7" s="1511" t="s">
        <v>1718</v>
      </c>
      <c r="Q7" s="1542">
        <v>1.16</v>
      </c>
      <c r="R7" s="1543" t="s">
        <v>1719</v>
      </c>
      <c r="S7" s="1543">
        <v>1.07089855072464</v>
      </c>
      <c r="T7" s="1543" t="s">
        <v>1720</v>
      </c>
      <c r="U7" s="1543">
        <v>1.07962962962963</v>
      </c>
      <c r="V7" s="1533" t="s">
        <v>1721</v>
      </c>
      <c r="W7" s="1543">
        <v>0.454545454545455</v>
      </c>
      <c r="X7" s="1506" t="s">
        <v>1722</v>
      </c>
      <c r="Y7" s="1543">
        <v>0.823529411764706</v>
      </c>
      <c r="Z7" s="1533">
        <v>0.2</v>
      </c>
      <c r="AA7" s="1544">
        <v>1.11111111111111</v>
      </c>
      <c r="AB7" s="1418"/>
      <c r="AC7" s="1551"/>
      <c r="AD7" s="1551"/>
      <c r="AE7" s="1551"/>
      <c r="AF7" s="1551"/>
      <c r="AG7" s="1551"/>
    </row>
    <row r="8" ht="15.6" spans="2:33">
      <c r="B8" s="1506"/>
      <c r="C8" s="1514" t="s">
        <v>1693</v>
      </c>
      <c r="D8" s="1507" t="s">
        <v>1721</v>
      </c>
      <c r="E8" s="1507">
        <f>VLOOKUP(D8,V4:W7,2,0)</f>
        <v>0.454545454545455</v>
      </c>
      <c r="F8" s="1515" t="s">
        <v>1707</v>
      </c>
      <c r="G8" s="1507">
        <f>VLOOKUP(F8,V4:W7,2,0)</f>
        <v>0.509090909090909</v>
      </c>
      <c r="I8" s="1526">
        <f>Summary!C33</f>
        <v>300</v>
      </c>
      <c r="J8" s="1528"/>
      <c r="K8" s="1528"/>
      <c r="L8" s="1528"/>
      <c r="M8" s="1528"/>
      <c r="N8" s="1528"/>
      <c r="P8" s="1533" t="s">
        <v>1723</v>
      </c>
      <c r="Q8" s="1543" t="s">
        <v>1668</v>
      </c>
      <c r="R8" s="1543" t="s">
        <v>1724</v>
      </c>
      <c r="S8" s="1543">
        <v>1.16</v>
      </c>
      <c r="T8" s="1543" t="s">
        <v>1716</v>
      </c>
      <c r="U8" s="1543">
        <v>1</v>
      </c>
      <c r="V8" s="1533"/>
      <c r="W8" s="1543"/>
      <c r="X8" s="1533"/>
      <c r="Y8" s="1533"/>
      <c r="Z8" s="1533"/>
      <c r="AA8" s="1533"/>
      <c r="AB8" s="1418"/>
      <c r="AC8" s="1551"/>
      <c r="AD8" s="1551"/>
      <c r="AE8" s="1551"/>
      <c r="AF8" s="1551"/>
      <c r="AG8" s="1551"/>
    </row>
    <row r="9" ht="15.6" spans="2:33">
      <c r="B9" s="1513" t="s">
        <v>1725</v>
      </c>
      <c r="C9" s="1514" t="s">
        <v>1694</v>
      </c>
      <c r="D9" s="1507" t="s">
        <v>1702</v>
      </c>
      <c r="E9" s="1507">
        <f>VLOOKUP(D9,X4:Y7,2,0)</f>
        <v>1</v>
      </c>
      <c r="F9" s="1515" t="s">
        <v>1722</v>
      </c>
      <c r="G9" s="1507">
        <f>VLOOKUP(F9,X4:Y7,2,0)</f>
        <v>0.823529411764706</v>
      </c>
      <c r="I9" s="1526" t="str">
        <f>'Thickness &amp; Weight'!W6</f>
        <v>NEG</v>
      </c>
      <c r="J9" s="1528"/>
      <c r="K9" s="1528"/>
      <c r="L9" s="1528"/>
      <c r="M9" s="1528"/>
      <c r="N9" s="1528"/>
      <c r="P9" s="1534" t="s">
        <v>1114</v>
      </c>
      <c r="Q9" s="1544" t="s">
        <v>1668</v>
      </c>
      <c r="R9" s="1543" t="s">
        <v>1726</v>
      </c>
      <c r="S9" s="1543">
        <v>0.92506329113924</v>
      </c>
      <c r="T9" s="1543" t="s">
        <v>1727</v>
      </c>
      <c r="U9" s="1544">
        <v>1</v>
      </c>
      <c r="V9" s="1545"/>
      <c r="W9" s="1546"/>
      <c r="X9" s="1545"/>
      <c r="Y9" s="1553"/>
      <c r="Z9" s="1545"/>
      <c r="AA9" s="1534"/>
      <c r="AB9" s="1418"/>
      <c r="AC9" s="1551"/>
      <c r="AD9" s="1551"/>
      <c r="AE9" s="1551"/>
      <c r="AF9" s="1551"/>
      <c r="AG9" s="1551"/>
    </row>
    <row r="10" ht="31.2" spans="2:33">
      <c r="B10" s="1506"/>
      <c r="C10" s="1514" t="s">
        <v>1728</v>
      </c>
      <c r="D10" s="1507">
        <v>0.25</v>
      </c>
      <c r="E10" s="1507">
        <f>VLOOKUP(D10,Z4:AA7,2,0)</f>
        <v>1</v>
      </c>
      <c r="F10" s="1515">
        <v>0.25</v>
      </c>
      <c r="G10" s="1507">
        <f>VLOOKUP(F10,Z4:AA7,2,0)</f>
        <v>1</v>
      </c>
      <c r="I10" s="1526">
        <f>'Thickness &amp; Weight'!C6</f>
        <v>0.3</v>
      </c>
      <c r="J10" s="1528"/>
      <c r="K10" s="1528"/>
      <c r="L10" s="1528"/>
      <c r="M10" s="1528"/>
      <c r="N10" s="1528"/>
      <c r="P10" s="1535"/>
      <c r="Q10" s="1547"/>
      <c r="R10" s="1543" t="s">
        <v>1729</v>
      </c>
      <c r="S10" s="1544">
        <v>1.16</v>
      </c>
      <c r="T10" s="1543" t="s">
        <v>1730</v>
      </c>
      <c r="U10" s="1535">
        <v>1.07089855072464</v>
      </c>
      <c r="V10" s="1535"/>
      <c r="W10" s="1547"/>
      <c r="X10" s="1535"/>
      <c r="Y10" s="1535"/>
      <c r="Z10" s="1535"/>
      <c r="AA10" s="1535"/>
      <c r="AB10" s="1418"/>
      <c r="AC10" s="1551"/>
      <c r="AD10" s="1551"/>
      <c r="AE10" s="1551"/>
      <c r="AF10" s="1551"/>
      <c r="AG10" s="1551"/>
    </row>
    <row r="11" ht="15" spans="2:33">
      <c r="B11" s="1506" t="s">
        <v>1731</v>
      </c>
      <c r="C11" s="1506"/>
      <c r="D11" s="1507" t="s">
        <v>1732</v>
      </c>
      <c r="E11" s="1507">
        <f>E7*E8*E9*E10</f>
        <v>0.454545454545455</v>
      </c>
      <c r="F11" s="1507" t="s">
        <v>1682</v>
      </c>
      <c r="G11" s="1507">
        <f>G7*G8*G9*G10</f>
        <v>0.387834021525756</v>
      </c>
      <c r="I11" s="1502"/>
      <c r="J11" s="1528"/>
      <c r="K11" s="1528"/>
      <c r="L11" s="1528"/>
      <c r="M11" s="1528"/>
      <c r="N11" s="1528"/>
      <c r="P11" s="1535"/>
      <c r="Q11" s="1547"/>
      <c r="R11" s="1511" t="s">
        <v>1733</v>
      </c>
      <c r="S11" s="1544">
        <v>1</v>
      </c>
      <c r="T11" s="1543" t="s">
        <v>1734</v>
      </c>
      <c r="U11" s="1535">
        <v>1.22082434782609</v>
      </c>
      <c r="V11" s="1535"/>
      <c r="W11" s="1547"/>
      <c r="X11" s="1535"/>
      <c r="Y11" s="1535"/>
      <c r="Z11" s="1535"/>
      <c r="AA11" s="1535"/>
      <c r="AB11" s="1418"/>
      <c r="AC11" s="1551"/>
      <c r="AD11" s="1551"/>
      <c r="AE11" s="1551"/>
      <c r="AF11" s="1551"/>
      <c r="AG11" s="1551"/>
    </row>
    <row r="12" ht="15" spans="2:33">
      <c r="B12" s="1506"/>
      <c r="C12" s="1506"/>
      <c r="D12" s="1507" t="s">
        <v>1735</v>
      </c>
      <c r="E12" s="1507">
        <v>100</v>
      </c>
      <c r="F12" s="1506" t="s">
        <v>1736</v>
      </c>
      <c r="G12" s="1516">
        <f>E12*G11/E11</f>
        <v>85.3234847356664</v>
      </c>
      <c r="I12" s="1502"/>
      <c r="P12" s="1535"/>
      <c r="Q12" s="1535"/>
      <c r="R12" s="1511"/>
      <c r="S12" s="1534"/>
      <c r="T12" s="1543" t="s">
        <v>1737</v>
      </c>
      <c r="U12" s="1535">
        <v>1.16</v>
      </c>
      <c r="V12" s="1535"/>
      <c r="W12" s="1547"/>
      <c r="X12" s="1535"/>
      <c r="Y12" s="1535"/>
      <c r="Z12" s="1535"/>
      <c r="AA12" s="1535"/>
      <c r="AB12" s="1418"/>
      <c r="AC12" s="1551"/>
      <c r="AD12" s="1551"/>
      <c r="AE12" s="1551"/>
      <c r="AF12" s="1551"/>
      <c r="AG12" s="1551"/>
    </row>
    <row r="13" ht="15" spans="2:33">
      <c r="B13" s="1517"/>
      <c r="C13" s="1518"/>
      <c r="D13" s="1518"/>
      <c r="E13" s="1518"/>
      <c r="F13" s="1518"/>
      <c r="G13" s="1518"/>
      <c r="I13" s="1502"/>
      <c r="P13" s="1535"/>
      <c r="Q13" s="1535"/>
      <c r="R13" s="1535"/>
      <c r="S13" s="1535"/>
      <c r="T13" s="1543" t="s">
        <v>1738</v>
      </c>
      <c r="U13" s="1535">
        <v>1.16</v>
      </c>
      <c r="V13" s="1535"/>
      <c r="W13" s="1535"/>
      <c r="X13" s="1535"/>
      <c r="Y13" s="1535"/>
      <c r="Z13" s="1535"/>
      <c r="AA13" s="1535"/>
      <c r="AB13" s="1418"/>
      <c r="AC13" s="1551"/>
      <c r="AD13" s="1551"/>
      <c r="AE13" s="1551"/>
      <c r="AF13" s="1551"/>
      <c r="AG13" s="1551"/>
    </row>
    <row r="14" ht="15.6" spans="2:33">
      <c r="B14" s="1519" t="s">
        <v>1489</v>
      </c>
      <c r="C14" s="1519" t="s">
        <v>1625</v>
      </c>
      <c r="D14" s="1504" t="s">
        <v>1739</v>
      </c>
      <c r="E14" s="1504"/>
      <c r="F14" s="1504" t="str">
        <f>F2</f>
        <v>NE160QDM-NZ4-8940</v>
      </c>
      <c r="G14" s="1504"/>
      <c r="I14" s="1502"/>
      <c r="P14" s="1535"/>
      <c r="Q14" s="1535"/>
      <c r="R14" s="1535"/>
      <c r="S14" s="1535"/>
      <c r="T14" s="1543" t="s">
        <v>1717</v>
      </c>
      <c r="U14" s="1535">
        <v>0.92506329113924</v>
      </c>
      <c r="V14" s="1535"/>
      <c r="W14" s="1535"/>
      <c r="X14" s="1535"/>
      <c r="Y14" s="1535"/>
      <c r="Z14" s="1535"/>
      <c r="AA14" s="1535"/>
      <c r="AB14" s="1418"/>
      <c r="AC14" s="1551"/>
      <c r="AD14" s="1551"/>
      <c r="AE14" s="1551"/>
      <c r="AF14" s="1551"/>
      <c r="AG14" s="1551"/>
    </row>
    <row r="15" ht="15" spans="2:33">
      <c r="B15" s="1520"/>
      <c r="C15" s="1520"/>
      <c r="D15" s="1507" t="s">
        <v>1629</v>
      </c>
      <c r="E15" s="1507" t="s">
        <v>1630</v>
      </c>
      <c r="F15" s="1507" t="s">
        <v>1629</v>
      </c>
      <c r="G15" s="1507" t="s">
        <v>900</v>
      </c>
      <c r="I15" s="1502"/>
      <c r="J15" s="1418"/>
      <c r="K15" s="1418"/>
      <c r="L15" s="1418"/>
      <c r="M15" s="1418"/>
      <c r="N15" s="1418"/>
      <c r="P15" s="1535"/>
      <c r="Q15" s="1535"/>
      <c r="R15" s="1535"/>
      <c r="S15" s="1535"/>
      <c r="T15" s="1543" t="s">
        <v>1740</v>
      </c>
      <c r="U15" s="1535">
        <v>1.05457215189873</v>
      </c>
      <c r="V15" s="1535"/>
      <c r="W15" s="1535"/>
      <c r="X15" s="1535"/>
      <c r="Y15" s="1535"/>
      <c r="Z15" s="1535"/>
      <c r="AA15" s="1535"/>
      <c r="AB15" s="1418"/>
      <c r="AC15" s="1418"/>
      <c r="AD15" s="1418"/>
      <c r="AE15" s="1418"/>
      <c r="AF15" s="1418"/>
      <c r="AG15" s="1418"/>
    </row>
    <row r="16" ht="15" spans="2:33">
      <c r="B16" s="1520" t="s">
        <v>1637</v>
      </c>
      <c r="C16" s="1520" t="s">
        <v>1638</v>
      </c>
      <c r="D16" s="1521">
        <v>2.2</v>
      </c>
      <c r="E16" s="1521"/>
      <c r="F16" s="1507">
        <f t="shared" ref="F16:F22" si="0">F4</f>
        <v>2.2</v>
      </c>
      <c r="G16" s="1507"/>
      <c r="I16" s="1502"/>
      <c r="J16" s="1418"/>
      <c r="K16" s="1418"/>
      <c r="L16" s="1418"/>
      <c r="M16" s="1418"/>
      <c r="N16" s="1418"/>
      <c r="P16" s="1535"/>
      <c r="Q16" s="1535"/>
      <c r="R16" s="1535"/>
      <c r="S16" s="1535"/>
      <c r="T16" s="1543" t="s">
        <v>1741</v>
      </c>
      <c r="U16" s="1535">
        <v>1.16</v>
      </c>
      <c r="V16" s="1535"/>
      <c r="W16" s="1535"/>
      <c r="X16" s="1535"/>
      <c r="Y16" s="1535"/>
      <c r="Z16" s="1535"/>
      <c r="AA16" s="1535"/>
      <c r="AB16" s="1418"/>
      <c r="AC16" s="1418"/>
      <c r="AD16" s="1418"/>
      <c r="AE16" s="1418"/>
      <c r="AF16" s="1418"/>
      <c r="AG16" s="1418"/>
    </row>
    <row r="17" ht="15" spans="2:33">
      <c r="B17" s="1520"/>
      <c r="C17" s="1520" t="s">
        <v>1703</v>
      </c>
      <c r="D17" s="1521" t="s">
        <v>1742</v>
      </c>
      <c r="E17" s="1521"/>
      <c r="F17" s="1507" t="str">
        <f t="shared" si="0"/>
        <v>2.0/2.1/2.1/5.8</v>
      </c>
      <c r="G17" s="1507"/>
      <c r="I17" s="1502"/>
      <c r="J17" s="1418"/>
      <c r="K17" s="1418"/>
      <c r="L17" s="1418"/>
      <c r="M17" s="1418"/>
      <c r="N17" s="1418"/>
      <c r="P17" s="1535"/>
      <c r="Q17" s="1535"/>
      <c r="R17" s="1535"/>
      <c r="S17" s="1535"/>
      <c r="T17" s="1543" t="s">
        <v>1743</v>
      </c>
      <c r="U17" s="1535">
        <v>1.16</v>
      </c>
      <c r="V17" s="1535"/>
      <c r="W17" s="1535"/>
      <c r="X17" s="1535"/>
      <c r="Y17" s="1535"/>
      <c r="Z17" s="1535"/>
      <c r="AA17" s="1535"/>
      <c r="AB17" s="1418"/>
      <c r="AC17" s="1418"/>
      <c r="AD17" s="1418"/>
      <c r="AE17" s="1418"/>
      <c r="AF17" s="1418"/>
      <c r="AG17" s="1418"/>
    </row>
    <row r="18" ht="15.6" spans="2:33">
      <c r="B18" s="1520"/>
      <c r="C18" s="1522" t="s">
        <v>1658</v>
      </c>
      <c r="D18" s="1521" t="s">
        <v>1709</v>
      </c>
      <c r="E18" s="1521"/>
      <c r="F18" s="1523" t="str">
        <f t="shared" si="0"/>
        <v>2.5/2.5/2.5/6.0</v>
      </c>
      <c r="G18" s="1523"/>
      <c r="P18" s="1535"/>
      <c r="Q18" s="1535"/>
      <c r="R18" s="1535"/>
      <c r="S18" s="1535"/>
      <c r="T18" s="1511" t="s">
        <v>1744</v>
      </c>
      <c r="U18" s="1535">
        <v>1</v>
      </c>
      <c r="V18" s="1535"/>
      <c r="W18" s="1535"/>
      <c r="X18" s="1535"/>
      <c r="Y18" s="1535"/>
      <c r="Z18" s="1535"/>
      <c r="AA18" s="1535"/>
      <c r="AB18" s="1418"/>
      <c r="AC18" s="1418"/>
      <c r="AD18" s="1418"/>
      <c r="AE18" s="1418"/>
      <c r="AF18" s="1418"/>
      <c r="AG18" s="1418"/>
    </row>
    <row r="19" ht="46.8" spans="2:33">
      <c r="B19" s="1524" t="s">
        <v>1714</v>
      </c>
      <c r="C19" s="1525" t="s">
        <v>1715</v>
      </c>
      <c r="D19" s="1521" t="s">
        <v>1717</v>
      </c>
      <c r="E19" s="1507">
        <f>VLOOKUP(D19,T23:U38,2,0)</f>
        <v>1.15131578947368</v>
      </c>
      <c r="F19" s="1507" t="str">
        <f t="shared" si="0"/>
        <v>SUS304+0.2t+单折</v>
      </c>
      <c r="G19" s="1507">
        <f>VLOOKUP(F19,T23:U38,2,0)</f>
        <v>1.15131578947368</v>
      </c>
      <c r="P19" s="1535"/>
      <c r="Q19" s="1535"/>
      <c r="R19" s="1535"/>
      <c r="S19" s="1535"/>
      <c r="T19" s="1511" t="s">
        <v>1745</v>
      </c>
      <c r="U19" s="1535">
        <v>1</v>
      </c>
      <c r="V19" s="1535"/>
      <c r="W19" s="1535"/>
      <c r="X19" s="1535"/>
      <c r="Y19" s="1535"/>
      <c r="Z19" s="1535"/>
      <c r="AA19" s="1535"/>
      <c r="AB19" s="1418"/>
      <c r="AC19" s="1418"/>
      <c r="AD19" s="1418"/>
      <c r="AE19" s="1418"/>
      <c r="AF19" s="1418"/>
      <c r="AG19" s="1418"/>
    </row>
    <row r="20" ht="15.6" spans="2:7">
      <c r="B20" s="1520"/>
      <c r="C20" s="1525" t="s">
        <v>1693</v>
      </c>
      <c r="D20" s="1521" t="s">
        <v>1707</v>
      </c>
      <c r="E20" s="1507">
        <f>VLOOKUP(D20,V23:W26,2,0)</f>
        <v>0.544642857142857</v>
      </c>
      <c r="F20" s="1507" t="str">
        <f t="shared" si="0"/>
        <v>300nit</v>
      </c>
      <c r="G20" s="1507">
        <f>VLOOKUP(F20,V23:W26,2,0)</f>
        <v>0.544642857142857</v>
      </c>
    </row>
    <row r="21" ht="16.35" spans="2:33">
      <c r="B21" s="1524" t="s">
        <v>1725</v>
      </c>
      <c r="C21" s="1525" t="s">
        <v>1694</v>
      </c>
      <c r="D21" s="1521" t="s">
        <v>1722</v>
      </c>
      <c r="E21" s="1507">
        <f>VLOOKUP(D21,X23:Y26,2,0)</f>
        <v>0.823529411764706</v>
      </c>
      <c r="F21" s="1507" t="str">
        <f t="shared" si="0"/>
        <v>Eagle</v>
      </c>
      <c r="G21" s="1507">
        <f>VLOOKUP(F21,X23:Y26,2,0)</f>
        <v>0.823529411764706</v>
      </c>
      <c r="P21" s="1529" t="s">
        <v>1746</v>
      </c>
      <c r="Q21" s="1536"/>
      <c r="R21" s="1536"/>
      <c r="S21" s="1536"/>
      <c r="T21" s="1536"/>
      <c r="U21" s="1418"/>
      <c r="V21" s="1418"/>
      <c r="W21" s="1418"/>
      <c r="X21" s="1418"/>
      <c r="Y21" s="1418"/>
      <c r="Z21" s="1418"/>
      <c r="AA21" s="1418"/>
      <c r="AB21" s="1418"/>
      <c r="AC21" s="1418"/>
      <c r="AD21" s="1418"/>
      <c r="AE21" s="1418"/>
      <c r="AF21" s="1418"/>
      <c r="AG21" s="1418"/>
    </row>
    <row r="22" ht="46.8" spans="2:33">
      <c r="B22" s="1520"/>
      <c r="C22" s="1525" t="s">
        <v>1728</v>
      </c>
      <c r="D22" s="1521">
        <v>0.25</v>
      </c>
      <c r="E22" s="1507">
        <f>VLOOKUP(D22,Z23:AA26,2,0)</f>
        <v>1</v>
      </c>
      <c r="F22" s="1507">
        <f t="shared" si="0"/>
        <v>0.25</v>
      </c>
      <c r="G22" s="1507">
        <f>VLOOKUP(F22,Z23:AA26,2,0)</f>
        <v>1</v>
      </c>
      <c r="P22" s="1531" t="s">
        <v>1690</v>
      </c>
      <c r="Q22" s="1537" t="s">
        <v>900</v>
      </c>
      <c r="R22" s="1537" t="s">
        <v>1691</v>
      </c>
      <c r="S22" s="1537" t="s">
        <v>900</v>
      </c>
      <c r="T22" s="1537" t="s">
        <v>1692</v>
      </c>
      <c r="U22" s="1538" t="s">
        <v>900</v>
      </c>
      <c r="V22" s="1539" t="s">
        <v>1693</v>
      </c>
      <c r="W22" s="1540" t="s">
        <v>900</v>
      </c>
      <c r="X22" s="1541" t="s">
        <v>1694</v>
      </c>
      <c r="Y22" s="1548" t="s">
        <v>1695</v>
      </c>
      <c r="Z22" s="1548" t="s">
        <v>1696</v>
      </c>
      <c r="AA22" s="1549" t="s">
        <v>1695</v>
      </c>
      <c r="AB22" s="1418"/>
      <c r="AC22" s="1418"/>
      <c r="AD22" s="1418"/>
      <c r="AE22" s="1418"/>
      <c r="AF22" s="1418"/>
      <c r="AG22" s="1418"/>
    </row>
    <row r="23" ht="15" spans="2:33">
      <c r="B23" s="1520" t="s">
        <v>1747</v>
      </c>
      <c r="C23" s="1520"/>
      <c r="D23" s="1521" t="s">
        <v>1748</v>
      </c>
      <c r="E23" s="1507">
        <f>E19*E20*E21*E22</f>
        <v>0.516398993808049</v>
      </c>
      <c r="F23" s="1507" t="s">
        <v>1682</v>
      </c>
      <c r="G23" s="1507">
        <f>G19*G20*G21*G22</f>
        <v>0.516398993808049</v>
      </c>
      <c r="P23" s="1511" t="s">
        <v>1698</v>
      </c>
      <c r="Q23" s="1542">
        <v>1</v>
      </c>
      <c r="R23" s="1543" t="s">
        <v>1699</v>
      </c>
      <c r="S23" s="1544">
        <v>0.892857142857143</v>
      </c>
      <c r="T23" s="1543" t="s">
        <v>1700</v>
      </c>
      <c r="U23" s="1543">
        <v>0.892857142857143</v>
      </c>
      <c r="V23" s="1533" t="s">
        <v>1701</v>
      </c>
      <c r="W23" s="1543">
        <v>0.589285714285714</v>
      </c>
      <c r="X23" s="1506" t="s">
        <v>1702</v>
      </c>
      <c r="Y23" s="1533">
        <v>1</v>
      </c>
      <c r="Z23" s="1533">
        <v>0.5</v>
      </c>
      <c r="AA23" s="1544" t="s">
        <v>1668</v>
      </c>
      <c r="AB23" s="1418"/>
      <c r="AC23" s="1418"/>
      <c r="AD23" s="1418"/>
      <c r="AE23" s="1418"/>
      <c r="AF23" s="1418"/>
      <c r="AG23" s="1418"/>
    </row>
    <row r="24" ht="15" spans="2:33">
      <c r="B24" s="1520"/>
      <c r="C24" s="1520"/>
      <c r="D24" s="1521" t="s">
        <v>1749</v>
      </c>
      <c r="E24" s="1507">
        <v>135</v>
      </c>
      <c r="F24" s="1520" t="s">
        <v>1750</v>
      </c>
      <c r="G24" s="1516">
        <f>E24*G23/E23</f>
        <v>135</v>
      </c>
      <c r="P24" s="1511" t="s">
        <v>1107</v>
      </c>
      <c r="Q24" s="1542">
        <v>1.26923076923077</v>
      </c>
      <c r="R24" s="1543" t="s">
        <v>1705</v>
      </c>
      <c r="S24" s="1544">
        <v>0.946428571428571</v>
      </c>
      <c r="T24" s="1543" t="s">
        <v>1706</v>
      </c>
      <c r="U24" s="1543">
        <v>0.892857142857143</v>
      </c>
      <c r="V24" s="1533" t="s">
        <v>1707</v>
      </c>
      <c r="W24" s="1543">
        <v>0.544642857142857</v>
      </c>
      <c r="X24" s="1506" t="s">
        <v>1708</v>
      </c>
      <c r="Y24" s="1543">
        <v>0.985294117647059</v>
      </c>
      <c r="Z24" s="1533">
        <v>0.4</v>
      </c>
      <c r="AA24" s="1552">
        <v>0.769230769230769</v>
      </c>
      <c r="AB24" s="1418"/>
      <c r="AC24" s="1418"/>
      <c r="AD24" s="1418"/>
      <c r="AE24" s="1418"/>
      <c r="AF24" s="1418"/>
      <c r="AG24" s="1418"/>
    </row>
    <row r="25" ht="15" spans="16:27">
      <c r="P25" s="1511" t="s">
        <v>1710</v>
      </c>
      <c r="Q25" s="1542">
        <v>1.03846153846154</v>
      </c>
      <c r="R25" s="1543" t="s">
        <v>1711</v>
      </c>
      <c r="S25" s="1543">
        <v>1</v>
      </c>
      <c r="T25" s="1543" t="s">
        <v>1712</v>
      </c>
      <c r="U25" s="1543">
        <v>0.946428571428571</v>
      </c>
      <c r="V25" s="1533" t="s">
        <v>1713</v>
      </c>
      <c r="W25" s="1543">
        <v>0.473214285714286</v>
      </c>
      <c r="X25" s="1506" t="s">
        <v>1047</v>
      </c>
      <c r="Y25" s="1543">
        <v>0.838235294117647</v>
      </c>
      <c r="Z25" s="1533">
        <v>0.25</v>
      </c>
      <c r="AA25" s="1552">
        <v>1</v>
      </c>
    </row>
    <row r="26" ht="15" spans="16:27">
      <c r="P26" s="1511" t="s">
        <v>1718</v>
      </c>
      <c r="Q26" s="1542">
        <v>1.34615384615385</v>
      </c>
      <c r="R26" s="1543" t="s">
        <v>1719</v>
      </c>
      <c r="S26" s="1543">
        <v>0.968057366362451</v>
      </c>
      <c r="T26" s="1543" t="s">
        <v>1720</v>
      </c>
      <c r="U26" s="1543">
        <v>1.41964285714286</v>
      </c>
      <c r="V26" s="1533" t="s">
        <v>1721</v>
      </c>
      <c r="W26" s="1543">
        <v>0.446428571428571</v>
      </c>
      <c r="X26" s="1506" t="s">
        <v>1722</v>
      </c>
      <c r="Y26" s="1543">
        <v>0.823529411764706</v>
      </c>
      <c r="Z26" s="1533">
        <v>0.2</v>
      </c>
      <c r="AA26" s="1544">
        <v>1.11111111111111</v>
      </c>
    </row>
    <row r="27" ht="15" spans="16:27">
      <c r="P27" s="1533" t="s">
        <v>1723</v>
      </c>
      <c r="Q27" s="1543" t="s">
        <v>1668</v>
      </c>
      <c r="R27" s="1543" t="s">
        <v>1724</v>
      </c>
      <c r="S27" s="1543">
        <v>1.03846153846154</v>
      </c>
      <c r="T27" s="1543" t="s">
        <v>1716</v>
      </c>
      <c r="U27" s="1543">
        <v>1</v>
      </c>
      <c r="V27" s="1533"/>
      <c r="W27" s="1543"/>
      <c r="X27" s="1533"/>
      <c r="Y27" s="1533"/>
      <c r="Z27" s="1533"/>
      <c r="AA27" s="1533"/>
    </row>
    <row r="28" ht="15" spans="16:27">
      <c r="P28" s="1534" t="s">
        <v>1114</v>
      </c>
      <c r="Q28" s="1544" t="s">
        <v>1668</v>
      </c>
      <c r="R28" s="1543" t="s">
        <v>1726</v>
      </c>
      <c r="S28" s="1543">
        <v>1.15131578947368</v>
      </c>
      <c r="T28" s="1543" t="s">
        <v>1727</v>
      </c>
      <c r="U28" s="1544">
        <v>1.57142857142857</v>
      </c>
      <c r="V28" s="1545"/>
      <c r="W28" s="1546"/>
      <c r="X28" s="1545"/>
      <c r="Y28" s="1553"/>
      <c r="Z28" s="1545"/>
      <c r="AA28" s="1534"/>
    </row>
    <row r="29" ht="15" spans="16:27">
      <c r="P29" s="1535"/>
      <c r="Q29" s="1547"/>
      <c r="R29" s="1543" t="s">
        <v>1729</v>
      </c>
      <c r="S29" s="1544">
        <v>1.34615384615385</v>
      </c>
      <c r="T29" s="1543" t="s">
        <v>1730</v>
      </c>
      <c r="U29" s="1535">
        <v>0.968057366362451</v>
      </c>
      <c r="V29" s="1535"/>
      <c r="W29" s="1547"/>
      <c r="X29" s="1535"/>
      <c r="Y29" s="1535"/>
      <c r="Z29" s="1535"/>
      <c r="AA29" s="1535"/>
    </row>
    <row r="30" ht="15" spans="16:27">
      <c r="P30" s="1535"/>
      <c r="Q30" s="1547"/>
      <c r="R30" s="1511" t="s">
        <v>1733</v>
      </c>
      <c r="S30" s="1544">
        <v>1.26923076923077</v>
      </c>
      <c r="T30" s="1543" t="s">
        <v>1734</v>
      </c>
      <c r="U30" s="1535">
        <v>0.968057366362451</v>
      </c>
      <c r="V30" s="1535"/>
      <c r="W30" s="1547"/>
      <c r="X30" s="1535"/>
      <c r="Y30" s="1535"/>
      <c r="Z30" s="1535"/>
      <c r="AA30" s="1535"/>
    </row>
    <row r="31" ht="15" spans="16:27">
      <c r="P31" s="1535"/>
      <c r="Q31" s="1535"/>
      <c r="R31" s="1511"/>
      <c r="S31" s="1534"/>
      <c r="T31" s="1543" t="s">
        <v>1737</v>
      </c>
      <c r="U31" s="1535">
        <v>1.03846153846154</v>
      </c>
      <c r="V31" s="1535"/>
      <c r="W31" s="1547"/>
      <c r="X31" s="1535"/>
      <c r="Y31" s="1535"/>
      <c r="Z31" s="1535"/>
      <c r="AA31" s="1535"/>
    </row>
    <row r="32" ht="15" spans="16:27">
      <c r="P32" s="1535"/>
      <c r="Q32" s="1535"/>
      <c r="R32" s="1535"/>
      <c r="S32" s="1535"/>
      <c r="T32" s="1543" t="s">
        <v>1738</v>
      </c>
      <c r="U32" s="1535">
        <v>1.63186813186813</v>
      </c>
      <c r="V32" s="1535"/>
      <c r="W32" s="1535"/>
      <c r="X32" s="1535"/>
      <c r="Y32" s="1535"/>
      <c r="Z32" s="1535"/>
      <c r="AA32" s="1535"/>
    </row>
    <row r="33" ht="15" spans="16:27">
      <c r="P33" s="1535"/>
      <c r="Q33" s="1535"/>
      <c r="R33" s="1535"/>
      <c r="S33" s="1535"/>
      <c r="T33" s="1543" t="s">
        <v>1717</v>
      </c>
      <c r="U33" s="1535">
        <v>1.15131578947368</v>
      </c>
      <c r="V33" s="1535"/>
      <c r="W33" s="1535"/>
      <c r="X33" s="1535"/>
      <c r="Y33" s="1535"/>
      <c r="Z33" s="1535"/>
      <c r="AA33" s="1535"/>
    </row>
    <row r="34" ht="15" spans="16:27">
      <c r="P34" s="1535"/>
      <c r="Q34" s="1535"/>
      <c r="R34" s="1535"/>
      <c r="S34" s="1535"/>
      <c r="T34" s="1543" t="s">
        <v>1740</v>
      </c>
      <c r="U34" s="1535">
        <v>1.15131578947368</v>
      </c>
      <c r="V34" s="1535"/>
      <c r="W34" s="1535"/>
      <c r="X34" s="1535"/>
      <c r="Y34" s="1535"/>
      <c r="Z34" s="1535"/>
      <c r="AA34" s="1535"/>
    </row>
    <row r="35" ht="15" spans="16:27">
      <c r="P35" s="1535"/>
      <c r="Q35" s="1535"/>
      <c r="R35" s="1535"/>
      <c r="S35" s="1535"/>
      <c r="T35" s="1543" t="s">
        <v>1741</v>
      </c>
      <c r="U35" s="1535">
        <v>1.34615384615385</v>
      </c>
      <c r="V35" s="1535"/>
      <c r="W35" s="1535"/>
      <c r="X35" s="1535"/>
      <c r="Y35" s="1535"/>
      <c r="Z35" s="1535"/>
      <c r="AA35" s="1535"/>
    </row>
    <row r="36" ht="15" spans="16:27">
      <c r="P36" s="1535"/>
      <c r="Q36" s="1535"/>
      <c r="R36" s="1535"/>
      <c r="S36" s="1535"/>
      <c r="T36" s="1543" t="s">
        <v>1743</v>
      </c>
      <c r="U36" s="1535">
        <v>2.11538461538462</v>
      </c>
      <c r="V36" s="1535"/>
      <c r="W36" s="1535"/>
      <c r="X36" s="1535"/>
      <c r="Y36" s="1535"/>
      <c r="Z36" s="1535"/>
      <c r="AA36" s="1535"/>
    </row>
    <row r="37" ht="15" spans="16:27">
      <c r="P37" s="1535"/>
      <c r="Q37" s="1535"/>
      <c r="R37" s="1535"/>
      <c r="S37" s="1535"/>
      <c r="T37" s="1511" t="s">
        <v>1744</v>
      </c>
      <c r="U37" s="1535">
        <v>1.26923076923077</v>
      </c>
      <c r="V37" s="1535"/>
      <c r="W37" s="1535"/>
      <c r="X37" s="1535"/>
      <c r="Y37" s="1535"/>
      <c r="Z37" s="1535"/>
      <c r="AA37" s="1535"/>
    </row>
    <row r="38" ht="15" spans="16:27">
      <c r="P38" s="1535"/>
      <c r="Q38" s="1535"/>
      <c r="R38" s="1535"/>
      <c r="S38" s="1535"/>
      <c r="T38" s="1511" t="s">
        <v>1745</v>
      </c>
      <c r="U38" s="1535">
        <v>1.99450549450549</v>
      </c>
      <c r="V38" s="1535"/>
      <c r="W38" s="1535"/>
      <c r="X38" s="1535"/>
      <c r="Y38" s="1535"/>
      <c r="Z38" s="1535"/>
      <c r="AA38" s="1535"/>
    </row>
  </sheetData>
  <mergeCells count="28">
    <mergeCell ref="D2:E2"/>
    <mergeCell ref="F2:G2"/>
    <mergeCell ref="P2:T2"/>
    <mergeCell ref="D4:E4"/>
    <mergeCell ref="F4:G4"/>
    <mergeCell ref="D5:E5"/>
    <mergeCell ref="F5:G5"/>
    <mergeCell ref="D6:E6"/>
    <mergeCell ref="F6:G6"/>
    <mergeCell ref="D14:E14"/>
    <mergeCell ref="F14:G14"/>
    <mergeCell ref="D16:E16"/>
    <mergeCell ref="F16:G16"/>
    <mergeCell ref="D17:E17"/>
    <mergeCell ref="F17:G17"/>
    <mergeCell ref="D18:E18"/>
    <mergeCell ref="F18:G18"/>
    <mergeCell ref="P21:T21"/>
    <mergeCell ref="B4:B6"/>
    <mergeCell ref="B7:B8"/>
    <mergeCell ref="B9:B10"/>
    <mergeCell ref="B16:B18"/>
    <mergeCell ref="B19:B20"/>
    <mergeCell ref="B21:B22"/>
    <mergeCell ref="AC3:AG14"/>
    <mergeCell ref="J2:N11"/>
    <mergeCell ref="B11:C12"/>
    <mergeCell ref="B23:C24"/>
  </mergeCells>
  <dataValidations count="5">
    <dataValidation type="list" allowBlank="1" showInputMessage="1" showErrorMessage="1" sqref="D9 F9 F21">
      <formula1>$X$4:$X$7</formula1>
    </dataValidation>
    <dataValidation type="list" allowBlank="1" showInputMessage="1" showErrorMessage="1" sqref="D7 F7 F19">
      <formula1>$T$4:$T$19</formula1>
    </dataValidation>
    <dataValidation type="list" allowBlank="1" showInputMessage="1" showErrorMessage="1" sqref="D8 F8 F20">
      <formula1>$V$4:$V$7</formula1>
    </dataValidation>
    <dataValidation type="list" allowBlank="1" showInputMessage="1" showErrorMessage="1" sqref="D10 F10 F22">
      <formula1>$Z$4:$Z$7</formula1>
    </dataValidation>
    <dataValidation type="list" allowBlank="1" showInputMessage="1" showErrorMessage="1" sqref="D19:D22">
      <formula1>[1]原始增益!#REF!</formula1>
    </dataValidation>
  </dataValidations>
  <pageMargins left="0.7" right="0.7" top="0.75" bottom="0.75" header="0.3" footer="0.3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2" tint="-0.249977111117893"/>
  </sheetPr>
  <dimension ref="A1:AD77"/>
  <sheetViews>
    <sheetView workbookViewId="0">
      <selection activeCell="K31" sqref="K31"/>
    </sheetView>
  </sheetViews>
  <sheetFormatPr defaultColWidth="9" defaultRowHeight="14.4"/>
  <cols>
    <col min="1" max="1" width="18.4444444444444" style="1418" customWidth="1"/>
    <col min="2" max="2" width="15.2222222222222" style="1418" customWidth="1"/>
    <col min="3" max="3" width="12.2222222222222" style="1418" customWidth="1"/>
    <col min="4" max="4" width="13" style="1418" customWidth="1"/>
    <col min="5" max="5" width="14.1111111111111" style="1418" customWidth="1"/>
    <col min="6" max="8" width="9" style="1418"/>
    <col min="9" max="9" width="9.77777777777778" style="1418" customWidth="1"/>
    <col min="10" max="10" width="2.66666666666667" style="1418" customWidth="1"/>
    <col min="11" max="11" width="17.4444444444444" style="1419" customWidth="1"/>
    <col min="12" max="12" width="3.33333333333333" style="1418" customWidth="1"/>
    <col min="13" max="13" width="9" style="1418"/>
    <col min="14" max="14" width="15.2222222222222" style="1418" customWidth="1"/>
    <col min="15" max="16384" width="9" style="1418"/>
  </cols>
  <sheetData>
    <row r="1" spans="1:13">
      <c r="A1" s="1420" t="s">
        <v>1489</v>
      </c>
      <c r="B1" s="1421" t="s">
        <v>1751</v>
      </c>
      <c r="C1" s="1422"/>
      <c r="D1" s="1423" t="s">
        <v>1752</v>
      </c>
      <c r="E1" s="1424"/>
      <c r="F1" s="1424"/>
      <c r="G1" s="1424"/>
      <c r="H1" s="1424"/>
      <c r="I1" s="1424"/>
      <c r="K1" s="1453" t="s">
        <v>1628</v>
      </c>
      <c r="M1" s="1418" t="s">
        <v>1643</v>
      </c>
    </row>
    <row r="2" spans="1:24">
      <c r="A2" s="1425"/>
      <c r="B2" s="1421" t="s">
        <v>1629</v>
      </c>
      <c r="C2" s="1422"/>
      <c r="D2" s="1426" t="s">
        <v>1629</v>
      </c>
      <c r="E2" s="1427"/>
      <c r="F2" s="1428"/>
      <c r="G2" s="1429" t="s">
        <v>900</v>
      </c>
      <c r="H2" s="1429"/>
      <c r="I2" s="1429"/>
      <c r="K2" s="1454" t="str">
        <f>亮度與BLU功耗!E6</f>
        <v>13.0华南向</v>
      </c>
      <c r="M2" s="1455" t="s">
        <v>1753</v>
      </c>
      <c r="N2" s="1456" t="s">
        <v>1754</v>
      </c>
      <c r="O2" s="1457"/>
      <c r="P2" s="1457"/>
      <c r="Q2" s="1457"/>
      <c r="R2" s="1457"/>
      <c r="S2" s="1457"/>
      <c r="T2" s="1457"/>
      <c r="U2" s="1472"/>
      <c r="V2" s="1459"/>
      <c r="W2" s="1473"/>
      <c r="X2" s="1473"/>
    </row>
    <row r="3" spans="1:25">
      <c r="A3" s="1430" t="s">
        <v>1755</v>
      </c>
      <c r="B3" s="1421" t="s">
        <v>1756</v>
      </c>
      <c r="C3" s="1422"/>
      <c r="D3" s="1426" t="s">
        <v>1757</v>
      </c>
      <c r="E3" s="1427"/>
      <c r="F3" s="1428"/>
      <c r="G3" s="1430" t="s">
        <v>1758</v>
      </c>
      <c r="H3" s="1430" t="s">
        <v>1759</v>
      </c>
      <c r="I3" s="1430" t="s">
        <v>1760</v>
      </c>
      <c r="K3" s="1454">
        <f>'Thickness &amp; Weight'!C22</f>
        <v>2.378</v>
      </c>
      <c r="M3" s="1458"/>
      <c r="N3" s="1459" t="s">
        <v>91</v>
      </c>
      <c r="O3" s="1459" t="s">
        <v>105</v>
      </c>
      <c r="P3" s="1459" t="s">
        <v>1758</v>
      </c>
      <c r="Q3" s="1459" t="s">
        <v>1759</v>
      </c>
      <c r="R3" s="1459" t="s">
        <v>1761</v>
      </c>
      <c r="S3" s="1459" t="s">
        <v>1762</v>
      </c>
      <c r="T3" s="1459" t="s">
        <v>31</v>
      </c>
      <c r="U3" s="1459" t="s">
        <v>1763</v>
      </c>
      <c r="V3" s="1459" t="s">
        <v>1764</v>
      </c>
      <c r="W3" s="1459" t="s">
        <v>1765</v>
      </c>
      <c r="X3" s="1459" t="s">
        <v>1766</v>
      </c>
      <c r="Y3" s="1484" t="s">
        <v>1767</v>
      </c>
    </row>
    <row r="4" spans="1:25">
      <c r="A4" s="1430" t="s">
        <v>1387</v>
      </c>
      <c r="B4" s="1421" t="s">
        <v>1768</v>
      </c>
      <c r="C4" s="1422"/>
      <c r="D4" s="1426" t="s">
        <v>1769</v>
      </c>
      <c r="E4" s="1427"/>
      <c r="F4" s="1428"/>
      <c r="G4" s="1431">
        <f>VLOOKUP(D4,M75:N77,2,0)</f>
        <v>1.2</v>
      </c>
      <c r="H4" s="1431">
        <f>VLOOKUP(D4,M75:N77,2,0)</f>
        <v>1.2</v>
      </c>
      <c r="I4" s="1430">
        <v>0</v>
      </c>
      <c r="K4" s="1454"/>
      <c r="M4" s="1460" t="s">
        <v>1770</v>
      </c>
      <c r="N4" s="1460" t="s">
        <v>1771</v>
      </c>
      <c r="O4" s="1460" t="s">
        <v>1772</v>
      </c>
      <c r="P4" s="1461">
        <v>0.8286</v>
      </c>
      <c r="Q4" s="1461">
        <v>0.8857</v>
      </c>
      <c r="R4" s="1461">
        <v>0.9714</v>
      </c>
      <c r="S4" s="1461">
        <v>0.0286</v>
      </c>
      <c r="T4" s="1474">
        <v>0.7</v>
      </c>
      <c r="U4" s="1474">
        <v>0.162</v>
      </c>
      <c r="V4" s="1460" t="str">
        <f>IF(OR(P4="",Q4=""),"",IF(OR(P4&gt;=90%,Q4&gt;=95%),"低风险",IF(OR(AND(P4&gt;=80%,P4&lt;90%),AND(Q4&gt;=90%,Q4&lt;=95%)),"中风险",IF(OR(P4&lt;80,Q4&lt;90%),"高风险"))))</f>
        <v>中风险</v>
      </c>
      <c r="W4" s="1461">
        <f>P4-P4</f>
        <v>0</v>
      </c>
      <c r="X4" s="1461">
        <f>Q4-Q4</f>
        <v>0</v>
      </c>
      <c r="Y4" s="1460">
        <v>0</v>
      </c>
    </row>
    <row r="5" spans="1:25">
      <c r="A5" s="1430" t="s">
        <v>1773</v>
      </c>
      <c r="B5" s="1429" t="str">
        <f>VLOOKUP(C5,N50:AD72,2,0)</f>
        <v>AG25/APF</v>
      </c>
      <c r="C5" s="1429" t="str">
        <f>N50</f>
        <v>127/123</v>
      </c>
      <c r="D5" s="1432" t="str">
        <f>VLOOKUP(E5,N50:AD72,2,0)</f>
        <v>AG25/APF</v>
      </c>
      <c r="E5" s="1433" t="s">
        <v>1774</v>
      </c>
      <c r="F5" s="1432" t="str">
        <f>VLOOKUP(E5,N50:AD72,3,0)</f>
        <v>SJ</v>
      </c>
      <c r="G5" s="1431">
        <f>VLOOKUP(E5,N50:AD72,15,0)</f>
        <v>1.04996379435192</v>
      </c>
      <c r="H5" s="1431">
        <f>VLOOKUP(E5,N50:AD72,16,0)</f>
        <v>1.07259794512815</v>
      </c>
      <c r="I5" s="1430">
        <f>VLOOKUP(E5,N50:AD73,14,0)</f>
        <v>-0.04</v>
      </c>
      <c r="K5" s="1454" t="str">
        <f>'Thickness &amp; Weight'!C5&amp;"/"&amp;'Thickness &amp; Weight'!C8</f>
        <v>0.119/0.117</v>
      </c>
      <c r="M5" s="1459">
        <v>3</v>
      </c>
      <c r="N5" s="1459" t="s">
        <v>1775</v>
      </c>
      <c r="O5" s="1459" t="s">
        <v>1776</v>
      </c>
      <c r="P5" s="1462">
        <v>0.8143</v>
      </c>
      <c r="Q5" s="1462">
        <v>0.8572</v>
      </c>
      <c r="R5" s="1462">
        <v>0.9429</v>
      </c>
      <c r="S5" s="1462">
        <v>0.0572</v>
      </c>
      <c r="T5" s="1459">
        <v>0.8</v>
      </c>
      <c r="U5" s="1459">
        <v>0.215</v>
      </c>
      <c r="V5" s="1459" t="str">
        <f t="shared" ref="V5:V6" si="0">IF(OR(P5="",Q5=""),"",IF(OR(P5&gt;=90%,Q5&gt;=95%),"低风险",IF(OR(AND(P5&gt;=80%,P5&lt;90%),AND(Q5&gt;=90%,Q5&lt;=95%)),"中风险",IF(OR(P5&lt;80,Q5&lt;90%),"高风险"))))</f>
        <v>中风险</v>
      </c>
      <c r="W5" s="1475" t="e">
        <f>P5-#REF!</f>
        <v>#REF!</v>
      </c>
      <c r="X5" s="1475" t="e">
        <f>Q5-#REF!</f>
        <v>#REF!</v>
      </c>
      <c r="Y5" s="1476">
        <f>U5-U4</f>
        <v>0.053</v>
      </c>
    </row>
    <row r="6" spans="1:25">
      <c r="A6" s="1430" t="s">
        <v>1642</v>
      </c>
      <c r="B6" s="1429" t="str">
        <f>O41</f>
        <v>0.25T</v>
      </c>
      <c r="C6" s="1429"/>
      <c r="D6" s="1426" t="s">
        <v>1772</v>
      </c>
      <c r="E6" s="1427"/>
      <c r="F6" s="1428"/>
      <c r="G6" s="1431">
        <f>VLOOKUP(D6,O33:Y36,9,0)</f>
        <v>0.966690803765387</v>
      </c>
      <c r="H6" s="1431">
        <f>VLOOKUP(D6,O33:Y36,10,0)</f>
        <v>0.948402393586993</v>
      </c>
      <c r="I6" s="1430">
        <f>VLOOKUP(D6,O33:Y36,11,0)</f>
        <v>0.02</v>
      </c>
      <c r="K6" s="1454" t="str">
        <f>'Thickness &amp; Weight'!C6&amp;"t"</f>
        <v>0.3t</v>
      </c>
      <c r="M6" s="1459">
        <v>4</v>
      </c>
      <c r="N6" s="1459" t="s">
        <v>1777</v>
      </c>
      <c r="O6" s="1459" t="s">
        <v>1772</v>
      </c>
      <c r="P6" s="1462">
        <v>0.6571</v>
      </c>
      <c r="Q6" s="1462">
        <v>0.7428</v>
      </c>
      <c r="R6" s="1462">
        <v>0.8142</v>
      </c>
      <c r="S6" s="1462">
        <v>0.1858</v>
      </c>
      <c r="T6" s="1459">
        <v>0.8</v>
      </c>
      <c r="U6" s="1459">
        <v>0.318</v>
      </c>
      <c r="V6" s="1459" t="str">
        <f t="shared" si="0"/>
        <v>高风险</v>
      </c>
      <c r="W6" s="1475">
        <f t="shared" ref="W6:X6" si="1">P6-P5</f>
        <v>-0.1572</v>
      </c>
      <c r="X6" s="1475">
        <f t="shared" si="1"/>
        <v>-0.1144</v>
      </c>
      <c r="Y6" s="1476">
        <f>U6-U4</f>
        <v>0.156</v>
      </c>
    </row>
    <row r="7" ht="15.6" spans="1:25">
      <c r="A7" s="1430" t="s">
        <v>1778</v>
      </c>
      <c r="B7" s="1429" t="str">
        <f>N41</f>
        <v>EXG</v>
      </c>
      <c r="C7" s="1429"/>
      <c r="D7" s="1426" t="s">
        <v>1779</v>
      </c>
      <c r="E7" s="1427"/>
      <c r="F7" s="1428"/>
      <c r="G7" s="1431">
        <f>VLOOKUP(D7,N41:Y43,10,0)</f>
        <v>1</v>
      </c>
      <c r="H7" s="1431">
        <f>VLOOKUP(D7,N41:Y42,11,0)</f>
        <v>1</v>
      </c>
      <c r="I7" s="1430">
        <f>VLOOKUP(D7,N41:Y44,12,0)</f>
        <v>0</v>
      </c>
      <c r="K7" s="1454" t="str">
        <f>'Thickness &amp; Weight'!W6</f>
        <v>NEG</v>
      </c>
      <c r="M7" s="1459"/>
      <c r="N7" s="1459"/>
      <c r="O7" s="1463"/>
      <c r="P7" s="1459"/>
      <c r="Q7" s="1459"/>
      <c r="R7" s="1459"/>
      <c r="S7" s="1459"/>
      <c r="T7" s="1459"/>
      <c r="U7" s="1459"/>
      <c r="V7" s="1459"/>
      <c r="W7" s="1459"/>
      <c r="X7" s="1459"/>
      <c r="Y7" s="1485"/>
    </row>
    <row r="8" spans="1:25">
      <c r="A8" s="1430" t="s">
        <v>78</v>
      </c>
      <c r="B8" s="1429" t="str">
        <f>N19</f>
        <v>SUS 304 0.2T</v>
      </c>
      <c r="C8" s="1429"/>
      <c r="D8" s="1426" t="s">
        <v>1777</v>
      </c>
      <c r="E8" s="1427"/>
      <c r="F8" s="1428"/>
      <c r="G8" s="1431">
        <f>VLOOKUP(D8,N19:Y26,10,0)</f>
        <v>0.844798455225682</v>
      </c>
      <c r="H8" s="1431">
        <f>VLOOKUP(D8,N19:Y26,11,0)</f>
        <v>0.872530202100034</v>
      </c>
      <c r="I8" s="1430">
        <f>VLOOKUP(D8,N19:Y27,12,0)</f>
        <v>0.156</v>
      </c>
      <c r="K8" s="1454" t="str">
        <f>'Thickness &amp; Weight'!W18&amp;" "&amp;K6</f>
        <v>DA01-H38 0.3t</v>
      </c>
      <c r="M8" s="1459"/>
      <c r="N8" s="1459"/>
      <c r="O8" s="1459"/>
      <c r="P8" s="1459"/>
      <c r="Q8" s="1459"/>
      <c r="R8" s="1459"/>
      <c r="S8" s="1459"/>
      <c r="T8" s="1459"/>
      <c r="U8" s="1459"/>
      <c r="V8" s="1459"/>
      <c r="W8" s="1459"/>
      <c r="X8" s="1459"/>
      <c r="Y8" s="1485"/>
    </row>
    <row r="9" hidden="1" spans="1:25">
      <c r="A9" s="1434" t="s">
        <v>1643</v>
      </c>
      <c r="B9" s="1429" t="str">
        <f>O19</f>
        <v>0.2T</v>
      </c>
      <c r="C9" s="1429"/>
      <c r="D9" s="1426" t="s">
        <v>1776</v>
      </c>
      <c r="E9" s="1427"/>
      <c r="F9" s="1428"/>
      <c r="G9" s="1431">
        <f>VLOOKUP(D9,O19:Y27,9,0)</f>
        <v>1.03439536567705</v>
      </c>
      <c r="H9" s="1431">
        <f>VLOOKUP(D9,O19:Y27,10,0)</f>
        <v>1.04832336005419</v>
      </c>
      <c r="I9" s="1430">
        <f>VLOOKUP(D9,O19:Y27,11,0)</f>
        <v>0</v>
      </c>
      <c r="M9" s="1459"/>
      <c r="N9" s="1459"/>
      <c r="O9" s="1459"/>
      <c r="P9" s="1459"/>
      <c r="Q9" s="1459"/>
      <c r="R9" s="1459"/>
      <c r="S9" s="1459"/>
      <c r="T9" s="1459"/>
      <c r="U9" s="1459"/>
      <c r="V9" s="1459"/>
      <c r="W9" s="1459"/>
      <c r="X9" s="1459"/>
      <c r="Y9" s="1485"/>
    </row>
    <row r="10" hidden="1" spans="1:25">
      <c r="A10" s="1434"/>
      <c r="B10" s="1429"/>
      <c r="C10" s="1429"/>
      <c r="D10" s="1435">
        <f>B11*G5*G6*G7*G8*G4</f>
        <v>0.852591889200754</v>
      </c>
      <c r="E10" s="1436"/>
      <c r="F10" s="1436"/>
      <c r="G10" s="1431"/>
      <c r="H10" s="1431"/>
      <c r="I10" s="1430"/>
      <c r="M10" s="1459"/>
      <c r="N10" s="1459"/>
      <c r="O10" s="1459"/>
      <c r="P10" s="1459"/>
      <c r="Q10" s="1459"/>
      <c r="R10" s="1459"/>
      <c r="S10" s="1459"/>
      <c r="T10" s="1459"/>
      <c r="U10" s="1459"/>
      <c r="V10" s="1459"/>
      <c r="W10" s="1459"/>
      <c r="X10" s="1459"/>
      <c r="Y10" s="1485"/>
    </row>
    <row r="11" spans="1:25">
      <c r="A11" s="1430" t="s">
        <v>1780</v>
      </c>
      <c r="B11" s="1437">
        <f>P19</f>
        <v>0.8286</v>
      </c>
      <c r="C11" s="1429"/>
      <c r="D11" s="1438">
        <f>IF(D10&gt;100%,100%,D10)</f>
        <v>0.852591889200754</v>
      </c>
      <c r="E11" s="1439"/>
      <c r="F11" s="1440"/>
      <c r="G11" s="1431"/>
      <c r="H11" s="1431"/>
      <c r="I11" s="1430"/>
      <c r="M11" s="1459"/>
      <c r="N11" s="1459"/>
      <c r="O11" s="1459"/>
      <c r="P11" s="1459"/>
      <c r="Q11" s="1459"/>
      <c r="R11" s="1459"/>
      <c r="S11" s="1459"/>
      <c r="T11" s="1459"/>
      <c r="U11" s="1459"/>
      <c r="V11" s="1459"/>
      <c r="W11" s="1459"/>
      <c r="X11" s="1459"/>
      <c r="Y11" s="1485"/>
    </row>
    <row r="12" hidden="1" spans="1:9">
      <c r="A12" s="1434"/>
      <c r="B12" s="1437"/>
      <c r="C12" s="1429"/>
      <c r="D12" s="1441">
        <f>B13*H5*H6*H7*H8*H4</f>
        <v>0.943361094649421</v>
      </c>
      <c r="E12" s="1440"/>
      <c r="F12" s="1440"/>
      <c r="G12" s="1431"/>
      <c r="H12" s="1431"/>
      <c r="I12" s="1430"/>
    </row>
    <row r="13" hidden="1" spans="1:9">
      <c r="A13" s="1434" t="s">
        <v>1781</v>
      </c>
      <c r="B13" s="1442">
        <f>B14</f>
        <v>0.8857</v>
      </c>
      <c r="C13" s="1443"/>
      <c r="D13" s="1438">
        <f>IF(D12&gt;100%,100%,D12)</f>
        <v>0.943361094649421</v>
      </c>
      <c r="E13" s="1440"/>
      <c r="F13" s="1444"/>
      <c r="G13" s="1431"/>
      <c r="H13" s="1431"/>
      <c r="I13" s="1430"/>
    </row>
    <row r="14" spans="1:9">
      <c r="A14" s="1430" t="s">
        <v>1781</v>
      </c>
      <c r="B14" s="1442">
        <f>Q19</f>
        <v>0.8857</v>
      </c>
      <c r="C14" s="1443"/>
      <c r="D14" s="1438">
        <f>IF(D13&lt;D11,D11,D13)</f>
        <v>0.943361094649421</v>
      </c>
      <c r="E14" s="1439"/>
      <c r="F14" s="1440"/>
      <c r="G14" s="1431"/>
      <c r="H14" s="1431"/>
      <c r="I14" s="1430"/>
    </row>
    <row r="15" ht="13.5" hidden="1" customHeight="1" spans="1:9">
      <c r="A15" s="1434" t="s">
        <v>1760</v>
      </c>
      <c r="B15" s="1445">
        <f>B16</f>
        <v>0.162</v>
      </c>
      <c r="C15" s="1443"/>
      <c r="D15" s="1446">
        <f>B15+I5+I6+I7+I8+I9</f>
        <v>0.298</v>
      </c>
      <c r="E15" s="1440"/>
      <c r="F15" s="1440"/>
      <c r="G15" s="1431"/>
      <c r="H15" s="1431"/>
      <c r="I15" s="1430"/>
    </row>
    <row r="16" spans="1:13">
      <c r="A16" s="1430" t="s">
        <v>1760</v>
      </c>
      <c r="B16" s="1445">
        <f>U19</f>
        <v>0.162</v>
      </c>
      <c r="C16" s="1443"/>
      <c r="D16" s="1447">
        <f>IF(D15&lt;0,0,D15)</f>
        <v>0.298</v>
      </c>
      <c r="E16" s="1448"/>
      <c r="F16" s="1449"/>
      <c r="G16" s="1430"/>
      <c r="H16" s="1430"/>
      <c r="I16" s="1430"/>
      <c r="M16" s="1418" t="s">
        <v>1782</v>
      </c>
    </row>
    <row r="17" spans="1:24">
      <c r="A17" s="1430" t="s">
        <v>1783</v>
      </c>
      <c r="B17" s="1429" t="str">
        <f>IF(OR(B11="",B13=""),"",IF(OR(B11&gt;=90%,B13&gt;=95%),"低风险",IF(OR(AND(B11&gt;=80%,B11&lt;90%),AND(B13&gt;=90%,B13&lt;=95%)),"中风险",IF(OR(B11&lt;80,B13&lt;90%),"高风险"))))</f>
        <v>中风险</v>
      </c>
      <c r="C17" s="1429"/>
      <c r="D17" s="1450" t="str">
        <f>IF(OR(D11="",D14=""),"",IF(OR(D11&gt;=90%,D14&gt;=95%),"低风险",IF(OR(AND(D11&gt;=80%,D11&lt;90%),AND(D14&gt;=90%,D14&lt;=95%)),"中风险",IF(OR(D11&lt;80,D14&lt;90%),"高风险"))))</f>
        <v>中风险</v>
      </c>
      <c r="E17" s="1451"/>
      <c r="F17" s="1452"/>
      <c r="G17" s="1430"/>
      <c r="H17" s="1430"/>
      <c r="I17" s="1430"/>
      <c r="M17" s="1455" t="s">
        <v>1753</v>
      </c>
      <c r="N17" s="1456" t="s">
        <v>1754</v>
      </c>
      <c r="O17" s="1457"/>
      <c r="P17" s="1457"/>
      <c r="Q17" s="1457"/>
      <c r="R17" s="1457"/>
      <c r="S17" s="1457"/>
      <c r="T17" s="1457"/>
      <c r="U17" s="1472"/>
      <c r="V17" s="1459"/>
      <c r="W17" s="1473"/>
      <c r="X17" s="1473"/>
    </row>
    <row r="18" spans="13:25">
      <c r="M18" s="1458"/>
      <c r="N18" s="1459" t="s">
        <v>91</v>
      </c>
      <c r="O18" s="1459" t="s">
        <v>105</v>
      </c>
      <c r="P18" s="1459" t="s">
        <v>1758</v>
      </c>
      <c r="Q18" s="1459" t="s">
        <v>1759</v>
      </c>
      <c r="R18" s="1459" t="s">
        <v>1761</v>
      </c>
      <c r="S18" s="1459" t="s">
        <v>1762</v>
      </c>
      <c r="T18" s="1459" t="s">
        <v>31</v>
      </c>
      <c r="U18" s="1459" t="s">
        <v>1763</v>
      </c>
      <c r="V18" s="1459" t="s">
        <v>1764</v>
      </c>
      <c r="W18" s="1459" t="s">
        <v>1765</v>
      </c>
      <c r="X18" s="1459" t="s">
        <v>1766</v>
      </c>
      <c r="Y18" s="1484" t="s">
        <v>1767</v>
      </c>
    </row>
    <row r="19" spans="13:25">
      <c r="M19" s="1429" t="s">
        <v>1770</v>
      </c>
      <c r="N19" s="1429" t="s">
        <v>1771</v>
      </c>
      <c r="O19" s="1429" t="s">
        <v>1772</v>
      </c>
      <c r="P19" s="1461">
        <v>0.8286</v>
      </c>
      <c r="Q19" s="1461">
        <v>0.8857</v>
      </c>
      <c r="R19" s="1461">
        <v>0.9714</v>
      </c>
      <c r="S19" s="1461">
        <v>0.0286</v>
      </c>
      <c r="T19" s="1474">
        <v>0.7</v>
      </c>
      <c r="U19" s="1474">
        <v>0.162</v>
      </c>
      <c r="V19" s="1460" t="str">
        <f>IF(OR(P19="",Q19=""),"",IF(OR(P19&gt;=90%,Q19&gt;=95%),"低风险",IF(OR(AND(P19&gt;=80%,P19&lt;90%),AND(Q19&gt;=90%,Q19&lt;=95%)),"中风险",IF(OR(P19&lt;80,Q19&lt;90%),"高风险"))))</f>
        <v>中风险</v>
      </c>
      <c r="W19" s="1461">
        <f>P19/P19</f>
        <v>1</v>
      </c>
      <c r="X19" s="1461">
        <f>Q19/Q19</f>
        <v>1</v>
      </c>
      <c r="Y19" s="1486">
        <f>U19-U19</f>
        <v>0</v>
      </c>
    </row>
    <row r="20" spans="13:25">
      <c r="M20" s="1429">
        <v>1</v>
      </c>
      <c r="N20" s="1429" t="s">
        <v>1784</v>
      </c>
      <c r="O20" s="1429" t="s">
        <v>1776</v>
      </c>
      <c r="P20" s="1462">
        <v>0.8571</v>
      </c>
      <c r="Q20" s="1462">
        <v>0.9285</v>
      </c>
      <c r="R20" s="1462">
        <v>0.9428</v>
      </c>
      <c r="S20" s="1462">
        <v>0.0572</v>
      </c>
      <c r="T20" s="1476">
        <v>0.6</v>
      </c>
      <c r="U20" s="1476">
        <v>0.162</v>
      </c>
      <c r="V20" s="1459" t="str">
        <f>IF(OR(P20="",Q20=""),"",IF(OR(P20&gt;=90%,Q20&gt;=95%),"低风险",IF(OR(AND(P20&gt;=80%,P20&lt;90%),AND(Q20&gt;=90%,Q20&lt;=95%)),"中风险",IF(OR(P20&lt;80,Q20&lt;90%),"高风险"))))</f>
        <v>中风险</v>
      </c>
      <c r="W20" s="1475">
        <f>P20/P19</f>
        <v>1.03439536567705</v>
      </c>
      <c r="X20" s="1475">
        <f>Q20/Q19</f>
        <v>1.04832336005419</v>
      </c>
      <c r="Y20" s="1487">
        <f>U20-U19</f>
        <v>0</v>
      </c>
    </row>
    <row r="21" spans="13:25">
      <c r="M21" s="1429">
        <v>2</v>
      </c>
      <c r="N21" s="1429" t="s">
        <v>1785</v>
      </c>
      <c r="O21" s="1429" t="s">
        <v>1776</v>
      </c>
      <c r="P21" s="1464">
        <v>0.9</v>
      </c>
      <c r="Q21" s="1462">
        <v>0.9571</v>
      </c>
      <c r="R21" s="1464">
        <v>1</v>
      </c>
      <c r="S21" s="1464">
        <v>0</v>
      </c>
      <c r="T21" s="1476">
        <v>0.8</v>
      </c>
      <c r="U21" s="1476">
        <v>0.154</v>
      </c>
      <c r="V21" s="1459" t="str">
        <f t="shared" ref="V21:V24" si="2">IF(OR(P21="",Q21=""),"",IF(OR(P21&gt;=90%,Q21&gt;=95%),"低风险",IF(OR(AND(P21&gt;=80%,P21&lt;90%),AND(Q21&gt;=90%,Q21&lt;=95%)),"中风险",IF(OR(P21&lt;80,Q21&lt;90%),"高风险"))))</f>
        <v>低风险</v>
      </c>
      <c r="W21" s="1475">
        <f>P21/P19</f>
        <v>1.08616944243302</v>
      </c>
      <c r="X21" s="1475">
        <f>Q21/Q19</f>
        <v>1.08061420345489</v>
      </c>
      <c r="Y21" s="1487">
        <f>U21-U19</f>
        <v>-0.00800000000000001</v>
      </c>
    </row>
    <row r="22" spans="13:25">
      <c r="M22" s="1429">
        <v>3</v>
      </c>
      <c r="N22" s="1429" t="s">
        <v>1775</v>
      </c>
      <c r="O22" s="1429" t="s">
        <v>1776</v>
      </c>
      <c r="P22" s="1462">
        <v>0.8143</v>
      </c>
      <c r="Q22" s="1462">
        <v>0.8572</v>
      </c>
      <c r="R22" s="1462">
        <v>0.9429</v>
      </c>
      <c r="S22" s="1462">
        <v>0.0572</v>
      </c>
      <c r="T22" s="1459">
        <v>0.8</v>
      </c>
      <c r="U22" s="1459">
        <v>0.215</v>
      </c>
      <c r="V22" s="1459" t="str">
        <f t="shared" si="2"/>
        <v>中风险</v>
      </c>
      <c r="W22" s="1475">
        <f>P22/P19</f>
        <v>0.982741974414675</v>
      </c>
      <c r="X22" s="1475">
        <f>Q22/Q19</f>
        <v>0.967822061646155</v>
      </c>
      <c r="Y22" s="1487">
        <f>U22-U19</f>
        <v>0.053</v>
      </c>
    </row>
    <row r="23" spans="13:25">
      <c r="M23" s="1429">
        <v>4</v>
      </c>
      <c r="N23" s="1429" t="s">
        <v>1777</v>
      </c>
      <c r="O23" s="1429" t="s">
        <v>1772</v>
      </c>
      <c r="P23" s="1462">
        <v>0.7</v>
      </c>
      <c r="Q23" s="1462">
        <v>0.7728</v>
      </c>
      <c r="R23" s="1462">
        <v>0.8242</v>
      </c>
      <c r="S23" s="1462">
        <v>0.1758</v>
      </c>
      <c r="T23" s="1459">
        <v>0.8</v>
      </c>
      <c r="U23" s="1459">
        <v>0.318</v>
      </c>
      <c r="V23" s="1459" t="str">
        <f t="shared" si="2"/>
        <v>高风险</v>
      </c>
      <c r="W23" s="1475">
        <f>P23/P19</f>
        <v>0.844798455225682</v>
      </c>
      <c r="X23" s="1475">
        <f>Q23/Q19</f>
        <v>0.872530202100034</v>
      </c>
      <c r="Y23" s="1487">
        <f>U23-U19</f>
        <v>0.156</v>
      </c>
    </row>
    <row r="24" spans="13:25">
      <c r="M24" s="1429">
        <v>5</v>
      </c>
      <c r="N24" s="1429" t="s">
        <v>1786</v>
      </c>
      <c r="O24" s="1429" t="s">
        <v>1787</v>
      </c>
      <c r="P24" s="1462">
        <v>0.75</v>
      </c>
      <c r="Q24" s="1462">
        <v>0.8029</v>
      </c>
      <c r="R24" s="1462">
        <v>0.8657</v>
      </c>
      <c r="S24" s="1462">
        <v>0.1343</v>
      </c>
      <c r="T24" s="1459">
        <v>0.6</v>
      </c>
      <c r="U24" s="1459">
        <v>0.25</v>
      </c>
      <c r="V24" s="1459" t="str">
        <f t="shared" si="2"/>
        <v>高风险</v>
      </c>
      <c r="W24" s="1475">
        <f>P24/P19</f>
        <v>0.905141202027516</v>
      </c>
      <c r="X24" s="1475">
        <f>Q24/Q19</f>
        <v>0.906514621203568</v>
      </c>
      <c r="Y24" s="1487">
        <f>U24-U19</f>
        <v>0.088</v>
      </c>
    </row>
    <row r="25" spans="13:25">
      <c r="M25" s="1459"/>
      <c r="N25" s="1459"/>
      <c r="O25" s="1459"/>
      <c r="P25" s="1459"/>
      <c r="Q25" s="1459"/>
      <c r="R25" s="1459"/>
      <c r="S25" s="1459"/>
      <c r="T25" s="1459"/>
      <c r="U25" s="1459"/>
      <c r="V25" s="1459"/>
      <c r="W25" s="1459"/>
      <c r="X25" s="1459"/>
      <c r="Y25" s="1485"/>
    </row>
    <row r="26" spans="13:25">
      <c r="M26" s="1459"/>
      <c r="N26" s="1459"/>
      <c r="O26" s="1459"/>
      <c r="P26" s="1459"/>
      <c r="Q26" s="1459"/>
      <c r="R26" s="1459"/>
      <c r="S26" s="1459"/>
      <c r="T26" s="1459"/>
      <c r="U26" s="1459"/>
      <c r="V26" s="1459"/>
      <c r="W26" s="1459"/>
      <c r="X26" s="1459"/>
      <c r="Y26" s="1485"/>
    </row>
    <row r="27" spans="13:25">
      <c r="M27" s="1459"/>
      <c r="N27" s="1459"/>
      <c r="O27" s="1459"/>
      <c r="P27" s="1459"/>
      <c r="Q27" s="1459"/>
      <c r="R27" s="1459"/>
      <c r="S27" s="1459"/>
      <c r="T27" s="1459"/>
      <c r="U27" s="1459"/>
      <c r="V27" s="1459"/>
      <c r="W27" s="1459"/>
      <c r="X27" s="1459"/>
      <c r="Y27" s="1485"/>
    </row>
    <row r="28" spans="13:25">
      <c r="M28" s="1459"/>
      <c r="N28" s="1459"/>
      <c r="O28" s="1459"/>
      <c r="P28" s="1459"/>
      <c r="Q28" s="1459"/>
      <c r="R28" s="1459"/>
      <c r="S28" s="1459"/>
      <c r="T28" s="1459"/>
      <c r="U28" s="1459"/>
      <c r="V28" s="1459"/>
      <c r="W28" s="1459"/>
      <c r="X28" s="1459"/>
      <c r="Y28" s="1485"/>
    </row>
    <row r="30" spans="13:13">
      <c r="M30" s="1418" t="s">
        <v>1642</v>
      </c>
    </row>
    <row r="31" spans="13:25">
      <c r="M31" s="1459" t="s">
        <v>1753</v>
      </c>
      <c r="N31" s="1456" t="s">
        <v>1788</v>
      </c>
      <c r="O31" s="1457"/>
      <c r="P31" s="1457"/>
      <c r="Q31" s="1457"/>
      <c r="R31" s="1457"/>
      <c r="S31" s="1457"/>
      <c r="T31" s="1457"/>
      <c r="U31" s="1457"/>
      <c r="V31" s="1472"/>
      <c r="W31" s="1459"/>
      <c r="X31" s="1459"/>
      <c r="Y31" s="1488"/>
    </row>
    <row r="32" spans="13:25">
      <c r="M32" s="1459"/>
      <c r="N32" s="1459" t="s">
        <v>91</v>
      </c>
      <c r="O32" s="1459" t="s">
        <v>105</v>
      </c>
      <c r="P32" s="1459" t="s">
        <v>1789</v>
      </c>
      <c r="Q32" s="1459" t="s">
        <v>1790</v>
      </c>
      <c r="R32" s="1459" t="s">
        <v>1791</v>
      </c>
      <c r="S32" s="1459" t="s">
        <v>1792</v>
      </c>
      <c r="T32" s="1459" t="s">
        <v>31</v>
      </c>
      <c r="U32" s="1459" t="s">
        <v>1763</v>
      </c>
      <c r="V32" s="1459" t="s">
        <v>1764</v>
      </c>
      <c r="W32" s="1459" t="s">
        <v>1765</v>
      </c>
      <c r="X32" s="1459" t="s">
        <v>1766</v>
      </c>
      <c r="Y32" s="1484" t="s">
        <v>1793</v>
      </c>
    </row>
    <row r="33" spans="13:25">
      <c r="M33" s="1429" t="s">
        <v>1770</v>
      </c>
      <c r="N33" s="1429" t="s">
        <v>1779</v>
      </c>
      <c r="O33" s="1429" t="s">
        <v>1794</v>
      </c>
      <c r="P33" s="1461">
        <v>0.8286</v>
      </c>
      <c r="Q33" s="1461">
        <v>0.8857</v>
      </c>
      <c r="R33" s="1461">
        <v>0.9714</v>
      </c>
      <c r="S33" s="1461">
        <v>0.0286</v>
      </c>
      <c r="T33" s="1474" t="s">
        <v>1795</v>
      </c>
      <c r="U33" s="1474">
        <v>0.162</v>
      </c>
      <c r="V33" s="1460" t="str">
        <f>IF(OR(P33="",Q33=""),"",IF(OR(P33&gt;=90%,Q33&gt;=95%),"低风险",IF(OR(AND(P33&gt;=80%,P33&lt;90%),AND(Q33&gt;=90%,Q33&lt;=95%)),"中风险",IF(OR(P33&lt;80,Q33&lt;90%),"高风险"))))</f>
        <v>中风险</v>
      </c>
      <c r="W33" s="1461">
        <f>P33/P33</f>
        <v>1</v>
      </c>
      <c r="X33" s="1461">
        <f>Q33/Q33</f>
        <v>1</v>
      </c>
      <c r="Y33" s="1489">
        <f>U33-U33</f>
        <v>0</v>
      </c>
    </row>
    <row r="34" spans="13:25">
      <c r="M34" s="1429">
        <v>1</v>
      </c>
      <c r="N34" s="1429" t="s">
        <v>1779</v>
      </c>
      <c r="O34" s="1429" t="s">
        <v>1796</v>
      </c>
      <c r="P34" s="1462">
        <v>0.9557</v>
      </c>
      <c r="Q34" s="1462">
        <v>0.9857</v>
      </c>
      <c r="R34" s="1462">
        <v>1</v>
      </c>
      <c r="S34" s="1462">
        <v>0</v>
      </c>
      <c r="T34" s="1476" t="s">
        <v>1797</v>
      </c>
      <c r="U34" s="1476" t="s">
        <v>1798</v>
      </c>
      <c r="V34" s="1477" t="str">
        <f t="shared" ref="V34:V36" si="3">IF(OR(P34="",Q34=""),"",IF(OR(P34&gt;=90%,Q34&gt;=95%),"低风险",IF(OR(AND(P34&gt;=80%,P34&lt;90%),AND(Q34&gt;=90%,Q34&lt;=95%)),"中风险",IF(OR(P34&lt;80,Q34&lt;90%),"高风险"))))</f>
        <v>低风险</v>
      </c>
      <c r="W34" s="1478">
        <f>P34/P33</f>
        <v>1.15339126237026</v>
      </c>
      <c r="X34" s="1478">
        <f>Q34/Q33</f>
        <v>1.11290504685559</v>
      </c>
      <c r="Y34" s="1490">
        <f>U34-U33</f>
        <v>-0.087</v>
      </c>
    </row>
    <row r="35" spans="13:25">
      <c r="M35" s="1429">
        <v>2</v>
      </c>
      <c r="N35" s="1429" t="s">
        <v>1779</v>
      </c>
      <c r="O35" s="1429" t="s">
        <v>1772</v>
      </c>
      <c r="P35" s="1462">
        <v>0.801</v>
      </c>
      <c r="Q35" s="1462">
        <v>0.84</v>
      </c>
      <c r="R35" s="1462">
        <v>0.93</v>
      </c>
      <c r="S35" s="1462">
        <v>0.07</v>
      </c>
      <c r="T35" s="1459">
        <v>0.8</v>
      </c>
      <c r="U35" s="1459">
        <v>0.182</v>
      </c>
      <c r="V35" s="1477" t="str">
        <f t="shared" si="3"/>
        <v>中风险</v>
      </c>
      <c r="W35" s="1478">
        <f>P35/P33</f>
        <v>0.966690803765387</v>
      </c>
      <c r="X35" s="1478">
        <f>Q35/Q33</f>
        <v>0.948402393586993</v>
      </c>
      <c r="Y35" s="1476">
        <f>U35-U33</f>
        <v>0.02</v>
      </c>
    </row>
    <row r="36" spans="13:25">
      <c r="M36" s="1459"/>
      <c r="N36" s="1459"/>
      <c r="O36" s="1459"/>
      <c r="P36" s="1462"/>
      <c r="Q36" s="1462"/>
      <c r="R36" s="1462"/>
      <c r="S36" s="1462"/>
      <c r="T36" s="1459"/>
      <c r="U36" s="1459"/>
      <c r="V36" s="1477" t="str">
        <f t="shared" si="3"/>
        <v/>
      </c>
      <c r="W36" s="1477"/>
      <c r="X36" s="1477"/>
      <c r="Y36" s="1485"/>
    </row>
    <row r="38" spans="13:13">
      <c r="M38" s="1418" t="s">
        <v>1778</v>
      </c>
    </row>
    <row r="39" spans="13:25">
      <c r="M39" s="1459" t="s">
        <v>1753</v>
      </c>
      <c r="N39" s="1456" t="s">
        <v>1788</v>
      </c>
      <c r="O39" s="1457"/>
      <c r="P39" s="1457"/>
      <c r="Q39" s="1457"/>
      <c r="R39" s="1457"/>
      <c r="S39" s="1457"/>
      <c r="T39" s="1457"/>
      <c r="U39" s="1457"/>
      <c r="V39" s="1472"/>
      <c r="W39" s="1459"/>
      <c r="X39" s="1459"/>
      <c r="Y39" s="1488"/>
    </row>
    <row r="40" spans="13:25">
      <c r="M40" s="1459"/>
      <c r="N40" s="1459" t="s">
        <v>91</v>
      </c>
      <c r="O40" s="1459" t="s">
        <v>105</v>
      </c>
      <c r="P40" s="1459" t="s">
        <v>1789</v>
      </c>
      <c r="Q40" s="1459" t="s">
        <v>1790</v>
      </c>
      <c r="R40" s="1459" t="s">
        <v>1791</v>
      </c>
      <c r="S40" s="1459" t="s">
        <v>1792</v>
      </c>
      <c r="T40" s="1459" t="s">
        <v>31</v>
      </c>
      <c r="U40" s="1459" t="s">
        <v>1763</v>
      </c>
      <c r="V40" s="1459" t="s">
        <v>1764</v>
      </c>
      <c r="W40" s="1459" t="s">
        <v>1765</v>
      </c>
      <c r="X40" s="1459" t="s">
        <v>1766</v>
      </c>
      <c r="Y40" s="1484" t="s">
        <v>1793</v>
      </c>
    </row>
    <row r="41" spans="13:25">
      <c r="M41" s="1460" t="s">
        <v>1770</v>
      </c>
      <c r="N41" s="1429" t="s">
        <v>1779</v>
      </c>
      <c r="O41" s="1429" t="s">
        <v>1794</v>
      </c>
      <c r="P41" s="1461">
        <v>0.8286</v>
      </c>
      <c r="Q41" s="1461">
        <v>0.8857</v>
      </c>
      <c r="R41" s="1461">
        <v>0.9714</v>
      </c>
      <c r="S41" s="1461">
        <v>0.0286</v>
      </c>
      <c r="T41" s="1474" t="s">
        <v>1795</v>
      </c>
      <c r="U41" s="1474">
        <v>0.162</v>
      </c>
      <c r="V41" s="1460" t="str">
        <f>IF(OR(P41="",Q41=""),"",IF(OR(P41&gt;=90%,Q41&gt;=95%),"低风险",IF(OR(AND(P41&gt;=80%,P41&lt;90%),AND(Q41&gt;=90%,Q41&lt;=95%)),"中风险",IF(OR(P41&lt;80,Q41&lt;90%),"高风险"))))</f>
        <v>中风险</v>
      </c>
      <c r="W41" s="1461">
        <f>P41/P41</f>
        <v>1</v>
      </c>
      <c r="X41" s="1461">
        <f>Q41/Q41</f>
        <v>1</v>
      </c>
      <c r="Y41" s="1433">
        <v>0</v>
      </c>
    </row>
    <row r="42" spans="13:25">
      <c r="M42" s="1459">
        <v>1</v>
      </c>
      <c r="N42" s="1429" t="s">
        <v>1799</v>
      </c>
      <c r="O42" s="1429" t="s">
        <v>1794</v>
      </c>
      <c r="P42" s="1462">
        <v>0.9857</v>
      </c>
      <c r="Q42" s="1462">
        <v>1</v>
      </c>
      <c r="R42" s="1462">
        <v>1</v>
      </c>
      <c r="S42" s="1462">
        <v>0</v>
      </c>
      <c r="T42" s="1476" t="s">
        <v>1800</v>
      </c>
      <c r="U42" s="1476" t="s">
        <v>1801</v>
      </c>
      <c r="V42" s="1477" t="str">
        <f t="shared" ref="V42:V44" si="4">IF(OR(P42="",Q42=""),"",IF(OR(P42&gt;=90%,Q42&gt;=95%),"低风险",IF(OR(AND(P42&gt;=80%,P42&lt;90%),AND(Q42&gt;=90%,Q42&lt;=95%)),"中风险",IF(OR(P42&lt;80,Q42&lt;90%),"高风险"))))</f>
        <v>低风险</v>
      </c>
      <c r="W42" s="1478">
        <f>P42/P41</f>
        <v>1.18959691045136</v>
      </c>
      <c r="X42" s="1478">
        <f>Q42/Q41</f>
        <v>1.12905046855594</v>
      </c>
      <c r="Y42" s="1490">
        <f>U42-U41</f>
        <v>-0.068</v>
      </c>
    </row>
    <row r="43" spans="13:25">
      <c r="M43" s="1459"/>
      <c r="N43" s="1459"/>
      <c r="O43" s="1459"/>
      <c r="P43" s="1462"/>
      <c r="Q43" s="1462"/>
      <c r="R43" s="1462"/>
      <c r="S43" s="1462"/>
      <c r="T43" s="1459"/>
      <c r="U43" s="1459"/>
      <c r="V43" s="1477" t="str">
        <f t="shared" si="4"/>
        <v/>
      </c>
      <c r="W43" s="1477"/>
      <c r="X43" s="1477"/>
      <c r="Y43" s="1485"/>
    </row>
    <row r="44" spans="13:25">
      <c r="M44" s="1459"/>
      <c r="N44" s="1459"/>
      <c r="O44" s="1459"/>
      <c r="P44" s="1462"/>
      <c r="Q44" s="1462"/>
      <c r="R44" s="1462"/>
      <c r="S44" s="1462"/>
      <c r="T44" s="1459"/>
      <c r="U44" s="1459"/>
      <c r="V44" s="1477" t="str">
        <f t="shared" si="4"/>
        <v/>
      </c>
      <c r="W44" s="1477"/>
      <c r="X44" s="1477"/>
      <c r="Y44" s="1485"/>
    </row>
    <row r="46" spans="13:13">
      <c r="M46" s="1418" t="s">
        <v>1802</v>
      </c>
    </row>
    <row r="47" spans="13:30">
      <c r="M47" s="1465" t="s">
        <v>1803</v>
      </c>
      <c r="N47" s="1466"/>
      <c r="O47" s="1466"/>
      <c r="P47" s="1466"/>
      <c r="Q47" s="1466"/>
      <c r="R47" s="1466"/>
      <c r="S47" s="1466"/>
      <c r="T47" s="1466"/>
      <c r="U47" s="1466"/>
      <c r="V47" s="1466"/>
      <c r="W47" s="1466"/>
      <c r="X47" s="1466"/>
      <c r="Y47" s="1466"/>
      <c r="Z47" s="1466"/>
      <c r="AA47" s="1491"/>
      <c r="AB47" s="1492"/>
      <c r="AC47" s="1492"/>
      <c r="AD47" s="1492"/>
    </row>
    <row r="48" spans="13:30">
      <c r="M48" s="1467"/>
      <c r="N48" s="1468"/>
      <c r="O48" s="1468"/>
      <c r="P48" s="1468"/>
      <c r="Q48" s="1468"/>
      <c r="R48" s="1468"/>
      <c r="S48" s="1468"/>
      <c r="T48" s="1468"/>
      <c r="U48" s="1468"/>
      <c r="V48" s="1468"/>
      <c r="W48" s="1468"/>
      <c r="X48" s="1468"/>
      <c r="Y48" s="1468"/>
      <c r="Z48" s="1468"/>
      <c r="AA48" s="1493"/>
      <c r="AB48" s="1492"/>
      <c r="AC48" s="1492"/>
      <c r="AD48" s="1492"/>
    </row>
    <row r="49" ht="28.8" spans="13:30">
      <c r="M49" s="1469" t="s">
        <v>1489</v>
      </c>
      <c r="N49" s="1469"/>
      <c r="O49" s="1469"/>
      <c r="P49" s="1469"/>
      <c r="Q49" s="1469" t="s">
        <v>1789</v>
      </c>
      <c r="R49" s="1469" t="s">
        <v>1790</v>
      </c>
      <c r="S49" s="1469" t="s">
        <v>1791</v>
      </c>
      <c r="T49" s="1469" t="s">
        <v>1804</v>
      </c>
      <c r="U49" s="1469" t="s">
        <v>1805</v>
      </c>
      <c r="V49" s="1469" t="s">
        <v>1806</v>
      </c>
      <c r="W49" s="1469" t="s">
        <v>1807</v>
      </c>
      <c r="X49" s="1469" t="s">
        <v>31</v>
      </c>
      <c r="Y49" s="1469" t="s">
        <v>1763</v>
      </c>
      <c r="Z49" s="1469" t="s">
        <v>1808</v>
      </c>
      <c r="AA49" s="1494" t="s">
        <v>1793</v>
      </c>
      <c r="AB49" s="1469" t="s">
        <v>1758</v>
      </c>
      <c r="AC49" s="1469" t="s">
        <v>1759</v>
      </c>
      <c r="AD49" s="1492"/>
    </row>
    <row r="50" spans="13:30">
      <c r="M50" s="1470" t="s">
        <v>1770</v>
      </c>
      <c r="N50" s="1470" t="s">
        <v>1809</v>
      </c>
      <c r="O50" s="1470" t="s">
        <v>1810</v>
      </c>
      <c r="P50" s="1470" t="s">
        <v>1811</v>
      </c>
      <c r="Q50" s="1479">
        <v>0.8286</v>
      </c>
      <c r="R50" s="1479">
        <v>0.8857</v>
      </c>
      <c r="S50" s="1479">
        <v>0.9714</v>
      </c>
      <c r="T50" s="1479">
        <v>0.0286</v>
      </c>
      <c r="U50" s="1479">
        <v>0</v>
      </c>
      <c r="V50" s="1479">
        <v>0</v>
      </c>
      <c r="W50" s="1479">
        <v>0</v>
      </c>
      <c r="X50" s="1470">
        <v>0.6</v>
      </c>
      <c r="Y50" s="1470">
        <v>0.162</v>
      </c>
      <c r="Z50" s="1470" t="str">
        <f>IF(OR(Q50="",R50=""),"",IF(OR(Q50&gt;=90%,R50&gt;=95%),"低风险",IF(OR(AND(Q50&gt;=80%,Q50&lt;=90%),AND(R50&gt;=90%,R50&lt;=95%)),"中风险",IF(OR(Q50&lt;80%,R50&lt;90%),"高风险"))))</f>
        <v>中风险</v>
      </c>
      <c r="AA50" s="1492">
        <v>0</v>
      </c>
      <c r="AB50" s="1495">
        <f>Q50/Q50</f>
        <v>1</v>
      </c>
      <c r="AC50" s="1495">
        <f>R50/R50</f>
        <v>1</v>
      </c>
      <c r="AD50" s="1492"/>
    </row>
    <row r="51" spans="13:30">
      <c r="M51" s="1469">
        <v>1</v>
      </c>
      <c r="N51" s="1469" t="s">
        <v>1812</v>
      </c>
      <c r="O51" s="1469" t="s">
        <v>1813</v>
      </c>
      <c r="P51" s="1469" t="s">
        <v>1814</v>
      </c>
      <c r="Q51" s="1480">
        <v>0.9357</v>
      </c>
      <c r="R51" s="1480">
        <v>0.9557</v>
      </c>
      <c r="S51" s="1481">
        <v>1</v>
      </c>
      <c r="T51" s="1480">
        <v>0</v>
      </c>
      <c r="U51" s="1480">
        <v>0</v>
      </c>
      <c r="V51" s="1480">
        <v>0</v>
      </c>
      <c r="W51" s="1480">
        <v>0</v>
      </c>
      <c r="X51" s="1482">
        <v>0.5</v>
      </c>
      <c r="Y51" s="1482">
        <v>0.095</v>
      </c>
      <c r="Z51" s="1496" t="str">
        <f t="shared" ref="Z51:Z72" si="5">IF(OR(Q51="",R51=""),"",IF(OR(Q51&gt;=90%,R51&gt;=95%),"低风险",IF(OR(AND(Q51&gt;=80%,Q51&lt;=90%),AND(R51&gt;=90%,R51&lt;=95%)),"中风险",IF(OR(Q51&lt;80%,R51&lt;90%),"高风险"))))</f>
        <v>低风险</v>
      </c>
      <c r="AA51" s="1494">
        <f>Y51-Y50</f>
        <v>-0.067</v>
      </c>
      <c r="AB51" s="1497">
        <f>Q51/Q50</f>
        <v>1.12925416364953</v>
      </c>
      <c r="AC51" s="1497">
        <f>R51/R50</f>
        <v>1.07903353279892</v>
      </c>
      <c r="AD51" s="1492"/>
    </row>
    <row r="52" spans="13:30">
      <c r="M52" s="1469">
        <v>2</v>
      </c>
      <c r="N52" s="1469" t="s">
        <v>1815</v>
      </c>
      <c r="O52" s="1469" t="s">
        <v>1816</v>
      </c>
      <c r="P52" s="1469" t="s">
        <v>1817</v>
      </c>
      <c r="Q52" s="1480">
        <v>0.9071</v>
      </c>
      <c r="R52" s="1480">
        <v>0.95</v>
      </c>
      <c r="S52" s="1481">
        <v>1</v>
      </c>
      <c r="T52" s="1480">
        <v>0</v>
      </c>
      <c r="U52" s="1480">
        <v>0</v>
      </c>
      <c r="V52" s="1480">
        <v>0</v>
      </c>
      <c r="W52" s="1480">
        <v>0</v>
      </c>
      <c r="X52" s="1482">
        <v>0.5</v>
      </c>
      <c r="Y52" s="1482">
        <v>0.091</v>
      </c>
      <c r="Z52" s="1496" t="str">
        <f t="shared" si="5"/>
        <v>低风险</v>
      </c>
      <c r="AA52" s="1494">
        <f>Y52-Y50</f>
        <v>-0.071</v>
      </c>
      <c r="AB52" s="1497">
        <f>Q52/Q50</f>
        <v>1.09473811247888</v>
      </c>
      <c r="AC52" s="1497">
        <f>R52/R50</f>
        <v>1.07259794512815</v>
      </c>
      <c r="AD52" s="1492"/>
    </row>
    <row r="53" spans="13:30">
      <c r="M53" s="1469">
        <v>3</v>
      </c>
      <c r="N53" s="1469" t="s">
        <v>1774</v>
      </c>
      <c r="O53" s="1469" t="s">
        <v>1810</v>
      </c>
      <c r="P53" s="1469" t="s">
        <v>1817</v>
      </c>
      <c r="Q53" s="1480">
        <v>0.87</v>
      </c>
      <c r="R53" s="1480">
        <v>0.95</v>
      </c>
      <c r="S53" s="1481">
        <v>1</v>
      </c>
      <c r="T53" s="1480">
        <v>0</v>
      </c>
      <c r="U53" s="1480">
        <v>0</v>
      </c>
      <c r="V53" s="1480">
        <v>0</v>
      </c>
      <c r="W53" s="1480">
        <v>0</v>
      </c>
      <c r="X53" s="1482">
        <v>0.4</v>
      </c>
      <c r="Y53" s="1482">
        <v>0.122</v>
      </c>
      <c r="Z53" s="1496" t="str">
        <f t="shared" si="5"/>
        <v>低风险</v>
      </c>
      <c r="AA53" s="1494">
        <f>Y53-Y50</f>
        <v>-0.04</v>
      </c>
      <c r="AB53" s="1497">
        <f>Q53/Q50</f>
        <v>1.04996379435192</v>
      </c>
      <c r="AC53" s="1497">
        <f>R53/R50</f>
        <v>1.07259794512815</v>
      </c>
      <c r="AD53" s="1492"/>
    </row>
    <row r="54" spans="13:30">
      <c r="M54" s="1469">
        <v>4</v>
      </c>
      <c r="N54" s="1469" t="s">
        <v>1818</v>
      </c>
      <c r="O54" s="1469" t="s">
        <v>1813</v>
      </c>
      <c r="P54" s="1469" t="s">
        <v>1814</v>
      </c>
      <c r="Q54" s="1480">
        <v>0.92</v>
      </c>
      <c r="R54" s="1480">
        <v>0.9428</v>
      </c>
      <c r="S54" s="1481">
        <v>1</v>
      </c>
      <c r="T54" s="1480">
        <v>0</v>
      </c>
      <c r="U54" s="1480">
        <v>0</v>
      </c>
      <c r="V54" s="1480">
        <v>0</v>
      </c>
      <c r="W54" s="1480">
        <v>0</v>
      </c>
      <c r="X54" s="1482">
        <v>0.5</v>
      </c>
      <c r="Y54" s="1482">
        <v>0.143</v>
      </c>
      <c r="Z54" s="1496" t="str">
        <f t="shared" si="5"/>
        <v>低风险</v>
      </c>
      <c r="AA54" s="1494">
        <f>Y54-Y50</f>
        <v>-0.019</v>
      </c>
      <c r="AB54" s="1497">
        <f>Q54/Q50</f>
        <v>1.11030654115375</v>
      </c>
      <c r="AC54" s="1497">
        <f>R54/R50</f>
        <v>1.06446878175454</v>
      </c>
      <c r="AD54" s="1492"/>
    </row>
    <row r="55" spans="13:30">
      <c r="M55" s="1469">
        <v>5</v>
      </c>
      <c r="N55" s="1469" t="s">
        <v>1819</v>
      </c>
      <c r="O55" s="1469" t="s">
        <v>1813</v>
      </c>
      <c r="P55" s="1469" t="s">
        <v>1814</v>
      </c>
      <c r="Q55" s="1480">
        <v>0.9143</v>
      </c>
      <c r="R55" s="1480">
        <v>0.9429</v>
      </c>
      <c r="S55" s="1481">
        <v>1</v>
      </c>
      <c r="T55" s="1480">
        <v>0</v>
      </c>
      <c r="U55" s="1480">
        <v>0</v>
      </c>
      <c r="V55" s="1480">
        <v>0</v>
      </c>
      <c r="W55" s="1480">
        <v>0</v>
      </c>
      <c r="X55" s="1482">
        <v>0.5</v>
      </c>
      <c r="Y55" s="1482">
        <v>0.133</v>
      </c>
      <c r="Z55" s="1496" t="str">
        <f t="shared" si="5"/>
        <v>低风险</v>
      </c>
      <c r="AA55" s="1494">
        <f>Y55-Y50</f>
        <v>-0.029</v>
      </c>
      <c r="AB55" s="1497">
        <f>Q55/Q50</f>
        <v>1.10342746801834</v>
      </c>
      <c r="AC55" s="1497">
        <f>R55/R50</f>
        <v>1.0645816868014</v>
      </c>
      <c r="AD55" s="1492"/>
    </row>
    <row r="56" ht="28.8" spans="13:30">
      <c r="M56" s="1469">
        <v>6</v>
      </c>
      <c r="N56" s="1471" t="s">
        <v>1820</v>
      </c>
      <c r="O56" s="1471" t="s">
        <v>1821</v>
      </c>
      <c r="P56" s="1469" t="s">
        <v>1817</v>
      </c>
      <c r="Q56" s="1480">
        <v>0.9714</v>
      </c>
      <c r="R56" s="1480">
        <v>0.9857</v>
      </c>
      <c r="S56" s="1481">
        <v>1</v>
      </c>
      <c r="T56" s="1480">
        <v>0</v>
      </c>
      <c r="U56" s="1480">
        <v>0</v>
      </c>
      <c r="V56" s="1480">
        <v>0</v>
      </c>
      <c r="W56" s="1480">
        <v>0</v>
      </c>
      <c r="X56" s="1482">
        <v>0.5</v>
      </c>
      <c r="Y56" s="1482">
        <v>0.044</v>
      </c>
      <c r="Z56" s="1496" t="str">
        <f t="shared" si="5"/>
        <v>低风险</v>
      </c>
      <c r="AA56" s="1494">
        <f>Y56-Y50</f>
        <v>-0.118</v>
      </c>
      <c r="AB56" s="1497">
        <f>Q56/Q50</f>
        <v>1.17233888486604</v>
      </c>
      <c r="AC56" s="1497">
        <f>R56/R50</f>
        <v>1.11290504685559</v>
      </c>
      <c r="AD56" s="1492"/>
    </row>
    <row r="57" ht="28.8" spans="13:30">
      <c r="M57" s="1469">
        <v>7</v>
      </c>
      <c r="N57" s="1471" t="s">
        <v>1822</v>
      </c>
      <c r="O57" s="1471" t="s">
        <v>1823</v>
      </c>
      <c r="P57" s="1469" t="s">
        <v>1817</v>
      </c>
      <c r="Q57" s="1480">
        <v>0.9714</v>
      </c>
      <c r="R57" s="1480">
        <v>0.9857</v>
      </c>
      <c r="S57" s="1481">
        <v>0.9857</v>
      </c>
      <c r="T57" s="1481">
        <v>0.0143</v>
      </c>
      <c r="U57" s="1481">
        <v>0</v>
      </c>
      <c r="V57" s="1481">
        <v>0</v>
      </c>
      <c r="W57" s="1481">
        <v>0</v>
      </c>
      <c r="X57" s="1483">
        <v>0.6</v>
      </c>
      <c r="Y57" s="1482">
        <v>0.058</v>
      </c>
      <c r="Z57" s="1496" t="str">
        <f t="shared" si="5"/>
        <v>低风险</v>
      </c>
      <c r="AA57" s="1494">
        <f>Y57-Y50</f>
        <v>-0.104</v>
      </c>
      <c r="AB57" s="1497">
        <f>Q57/Q50</f>
        <v>1.17233888486604</v>
      </c>
      <c r="AC57" s="1497">
        <f>R57/R50</f>
        <v>1.11290504685559</v>
      </c>
      <c r="AD57" s="1492"/>
    </row>
    <row r="58" spans="13:30">
      <c r="M58" s="1469">
        <v>8</v>
      </c>
      <c r="N58" s="1471" t="s">
        <v>1824</v>
      </c>
      <c r="O58" s="1471" t="s">
        <v>1825</v>
      </c>
      <c r="P58" s="1469" t="s">
        <v>1817</v>
      </c>
      <c r="Q58" s="1480">
        <v>0.9714</v>
      </c>
      <c r="R58" s="1480">
        <v>0.9714</v>
      </c>
      <c r="S58" s="1481">
        <v>0.9714</v>
      </c>
      <c r="T58" s="1481">
        <v>0.0143</v>
      </c>
      <c r="U58" s="1481">
        <v>0.0143</v>
      </c>
      <c r="V58" s="1481">
        <v>0</v>
      </c>
      <c r="W58" s="1481">
        <v>0</v>
      </c>
      <c r="X58" s="1483">
        <v>0.7</v>
      </c>
      <c r="Y58" s="1482">
        <v>0.102</v>
      </c>
      <c r="Z58" s="1496" t="str">
        <f t="shared" si="5"/>
        <v>低风险</v>
      </c>
      <c r="AA58" s="1494">
        <f>Y58-Y50</f>
        <v>-0.06</v>
      </c>
      <c r="AB58" s="1497">
        <f>Q58/Q50</f>
        <v>1.17233888486604</v>
      </c>
      <c r="AC58" s="1497">
        <f>R58/R50</f>
        <v>1.09675962515524</v>
      </c>
      <c r="AD58" s="1492"/>
    </row>
    <row r="59" spans="13:30">
      <c r="M59" s="1469">
        <v>9</v>
      </c>
      <c r="N59" s="1471" t="s">
        <v>1826</v>
      </c>
      <c r="O59" s="1471" t="s">
        <v>1827</v>
      </c>
      <c r="P59" s="1469" t="s">
        <v>1814</v>
      </c>
      <c r="Q59" s="1480">
        <v>0.9357</v>
      </c>
      <c r="R59" s="1480">
        <v>0.95</v>
      </c>
      <c r="S59" s="1481">
        <v>1</v>
      </c>
      <c r="T59" s="1481">
        <v>0</v>
      </c>
      <c r="U59" s="1481">
        <v>0</v>
      </c>
      <c r="V59" s="1481">
        <v>0</v>
      </c>
      <c r="W59" s="1481">
        <v>0</v>
      </c>
      <c r="X59" s="1483">
        <v>0.4</v>
      </c>
      <c r="Y59" s="1482">
        <v>0.087</v>
      </c>
      <c r="Z59" s="1496" t="str">
        <f t="shared" si="5"/>
        <v>低风险</v>
      </c>
      <c r="AA59" s="1494">
        <f>Y59-Y50</f>
        <v>-0.075</v>
      </c>
      <c r="AB59" s="1497">
        <f>Q59/Q50</f>
        <v>1.12925416364953</v>
      </c>
      <c r="AC59" s="1497">
        <f>R59/R50</f>
        <v>1.07259794512815</v>
      </c>
      <c r="AD59" s="1492"/>
    </row>
    <row r="60" spans="13:30">
      <c r="M60" s="1469">
        <v>10</v>
      </c>
      <c r="N60" s="1471" t="s">
        <v>1828</v>
      </c>
      <c r="O60" s="1471" t="s">
        <v>1827</v>
      </c>
      <c r="P60" s="1469" t="s">
        <v>1814</v>
      </c>
      <c r="Q60" s="1480">
        <v>0.9571</v>
      </c>
      <c r="R60" s="1480">
        <v>1</v>
      </c>
      <c r="S60" s="1481">
        <v>1</v>
      </c>
      <c r="T60" s="1481">
        <v>0</v>
      </c>
      <c r="U60" s="1481">
        <v>0</v>
      </c>
      <c r="V60" s="1481">
        <v>0</v>
      </c>
      <c r="W60" s="1481">
        <v>0</v>
      </c>
      <c r="X60" s="1483">
        <v>0.4</v>
      </c>
      <c r="Y60" s="1482">
        <v>0.097</v>
      </c>
      <c r="Z60" s="1496" t="str">
        <f t="shared" si="5"/>
        <v>低风险</v>
      </c>
      <c r="AA60" s="1494">
        <f>Y60-Y50</f>
        <v>-0.065</v>
      </c>
      <c r="AB60" s="1497">
        <f>Q60/Q50</f>
        <v>1.15508085928071</v>
      </c>
      <c r="AC60" s="1497">
        <f>R60/R50</f>
        <v>1.12905046855594</v>
      </c>
      <c r="AD60" s="1492"/>
    </row>
    <row r="61" spans="13:30">
      <c r="M61" s="1469">
        <v>11</v>
      </c>
      <c r="N61" s="1471" t="s">
        <v>1829</v>
      </c>
      <c r="O61" s="1471" t="s">
        <v>1827</v>
      </c>
      <c r="P61" s="1469" t="s">
        <v>1814</v>
      </c>
      <c r="Q61" s="1480">
        <v>0.9214</v>
      </c>
      <c r="R61" s="1480">
        <v>0.9557</v>
      </c>
      <c r="S61" s="1481">
        <v>1</v>
      </c>
      <c r="T61" s="1481">
        <v>0</v>
      </c>
      <c r="U61" s="1481">
        <v>0</v>
      </c>
      <c r="V61" s="1481">
        <v>0</v>
      </c>
      <c r="W61" s="1481">
        <v>0</v>
      </c>
      <c r="X61" s="1483">
        <v>0.5</v>
      </c>
      <c r="Y61" s="1482">
        <v>0.107</v>
      </c>
      <c r="Z61" s="1496" t="str">
        <f t="shared" si="5"/>
        <v>低风险</v>
      </c>
      <c r="AA61" s="1494">
        <f>Y61-Y50</f>
        <v>-0.055</v>
      </c>
      <c r="AB61" s="1497">
        <f>Q61/Q50</f>
        <v>1.1119961380642</v>
      </c>
      <c r="AC61" s="1497">
        <f>R61/R50</f>
        <v>1.07903353279892</v>
      </c>
      <c r="AD61" s="1492"/>
    </row>
    <row r="62" spans="13:30">
      <c r="M62" s="1469">
        <v>12</v>
      </c>
      <c r="N62" s="1471" t="s">
        <v>1830</v>
      </c>
      <c r="O62" s="1471" t="s">
        <v>1827</v>
      </c>
      <c r="P62" s="1469" t="s">
        <v>1814</v>
      </c>
      <c r="Q62" s="1480">
        <v>0.8857</v>
      </c>
      <c r="R62" s="1480">
        <v>0.9714</v>
      </c>
      <c r="S62" s="1481">
        <v>1</v>
      </c>
      <c r="T62" s="1481">
        <v>0</v>
      </c>
      <c r="U62" s="1481">
        <v>0</v>
      </c>
      <c r="V62" s="1481">
        <v>0</v>
      </c>
      <c r="W62" s="1481">
        <v>0</v>
      </c>
      <c r="X62" s="1483">
        <v>0.5</v>
      </c>
      <c r="Y62" s="1482">
        <v>0.167</v>
      </c>
      <c r="Z62" s="1496" t="str">
        <f t="shared" si="5"/>
        <v>低风险</v>
      </c>
      <c r="AA62" s="1494">
        <f>Y62-Y50</f>
        <v>0.005</v>
      </c>
      <c r="AB62" s="1497">
        <f>Q62/Q50</f>
        <v>1.06891141684769</v>
      </c>
      <c r="AC62" s="1497">
        <f>R62/R50</f>
        <v>1.09675962515524</v>
      </c>
      <c r="AD62" s="1492"/>
    </row>
    <row r="63" spans="13:30">
      <c r="M63" s="1469">
        <v>13</v>
      </c>
      <c r="N63" s="1471" t="s">
        <v>1831</v>
      </c>
      <c r="O63" s="1471" t="s">
        <v>1827</v>
      </c>
      <c r="P63" s="1469" t="s">
        <v>1814</v>
      </c>
      <c r="Q63" s="1480">
        <v>0.8714</v>
      </c>
      <c r="R63" s="1480">
        <v>0.9857</v>
      </c>
      <c r="S63" s="1481">
        <v>1</v>
      </c>
      <c r="T63" s="1481">
        <v>0</v>
      </c>
      <c r="U63" s="1481">
        <v>0</v>
      </c>
      <c r="V63" s="1481">
        <v>0</v>
      </c>
      <c r="W63" s="1481">
        <v>0</v>
      </c>
      <c r="X63" s="1483">
        <v>0.5</v>
      </c>
      <c r="Y63" s="1482">
        <v>0.144</v>
      </c>
      <c r="Z63" s="1496" t="str">
        <f t="shared" si="5"/>
        <v>低风险</v>
      </c>
      <c r="AA63" s="1494">
        <f>Y63-Y50</f>
        <v>-0.018</v>
      </c>
      <c r="AB63" s="1497">
        <f>Q63/Q50</f>
        <v>1.05165339126237</v>
      </c>
      <c r="AC63" s="1497">
        <f>R63/R50</f>
        <v>1.11290504685559</v>
      </c>
      <c r="AD63" s="1492"/>
    </row>
    <row r="64" spans="13:30">
      <c r="M64" s="1469">
        <v>14</v>
      </c>
      <c r="N64" s="1471" t="s">
        <v>1832</v>
      </c>
      <c r="O64" s="1471" t="s">
        <v>1827</v>
      </c>
      <c r="P64" s="1469" t="s">
        <v>1817</v>
      </c>
      <c r="Q64" s="1480">
        <v>0.8429</v>
      </c>
      <c r="R64" s="1480">
        <v>0.9</v>
      </c>
      <c r="S64" s="1481">
        <v>0.9429</v>
      </c>
      <c r="T64" s="1481">
        <v>0.0429</v>
      </c>
      <c r="U64" s="1481">
        <v>0.0143</v>
      </c>
      <c r="V64" s="1481">
        <v>0</v>
      </c>
      <c r="W64" s="1481">
        <v>0</v>
      </c>
      <c r="X64" s="1483">
        <v>0.7</v>
      </c>
      <c r="Y64" s="1482">
        <v>0.127</v>
      </c>
      <c r="Z64" s="1496" t="str">
        <f t="shared" si="5"/>
        <v>中风险</v>
      </c>
      <c r="AA64" s="1494">
        <f>Y64-Y50</f>
        <v>-0.035</v>
      </c>
      <c r="AB64" s="1497">
        <f>Q64/Q50</f>
        <v>1.01725802558532</v>
      </c>
      <c r="AC64" s="1497">
        <f>R64/R50</f>
        <v>1.01614542170035</v>
      </c>
      <c r="AD64" s="1492"/>
    </row>
    <row r="65" spans="13:30">
      <c r="M65" s="1469">
        <v>15</v>
      </c>
      <c r="N65" s="1471" t="s">
        <v>1833</v>
      </c>
      <c r="O65" s="1471" t="s">
        <v>1827</v>
      </c>
      <c r="P65" s="1469" t="s">
        <v>1814</v>
      </c>
      <c r="Q65" s="1480">
        <v>0.8</v>
      </c>
      <c r="R65" s="1480">
        <v>0.9143</v>
      </c>
      <c r="S65" s="1481">
        <v>0.9572</v>
      </c>
      <c r="T65" s="1481">
        <v>0</v>
      </c>
      <c r="U65" s="1481">
        <v>0.0286</v>
      </c>
      <c r="V65" s="1481">
        <v>0.0143</v>
      </c>
      <c r="W65" s="1481">
        <v>0</v>
      </c>
      <c r="X65" s="1483">
        <v>0.8</v>
      </c>
      <c r="Y65" s="1482">
        <v>0.173</v>
      </c>
      <c r="Z65" s="1496" t="str">
        <f t="shared" si="5"/>
        <v>中风险</v>
      </c>
      <c r="AA65" s="1494">
        <f>Y65-Y50</f>
        <v>0.011</v>
      </c>
      <c r="AB65" s="1497">
        <f>Q65/Q50</f>
        <v>0.965483948829351</v>
      </c>
      <c r="AC65" s="1497">
        <f>R65/R50</f>
        <v>1.0322908434007</v>
      </c>
      <c r="AD65" s="1492"/>
    </row>
    <row r="66" spans="13:30">
      <c r="M66" s="1469">
        <v>16</v>
      </c>
      <c r="N66" s="1471" t="s">
        <v>1834</v>
      </c>
      <c r="O66" s="1471" t="s">
        <v>1827</v>
      </c>
      <c r="P66" s="1469" t="s">
        <v>1817</v>
      </c>
      <c r="Q66" s="1480">
        <v>0.6714</v>
      </c>
      <c r="R66" s="1480">
        <v>0.7857</v>
      </c>
      <c r="S66" s="1481">
        <v>0.9143</v>
      </c>
      <c r="T66" s="1481">
        <v>0.0857</v>
      </c>
      <c r="U66" s="1481">
        <v>0</v>
      </c>
      <c r="V66" s="1481">
        <v>0</v>
      </c>
      <c r="W66" s="1481">
        <v>0</v>
      </c>
      <c r="X66" s="1483">
        <v>0.6</v>
      </c>
      <c r="Y66" s="1482">
        <v>0.285</v>
      </c>
      <c r="Z66" s="1496" t="str">
        <f t="shared" si="5"/>
        <v>高风险</v>
      </c>
      <c r="AA66" s="1494">
        <f>Y66-Y50</f>
        <v>0.123</v>
      </c>
      <c r="AB66" s="1497">
        <f>Q66/Q50</f>
        <v>0.810282404055033</v>
      </c>
      <c r="AC66" s="1497">
        <f>R66/R50</f>
        <v>0.887094953144405</v>
      </c>
      <c r="AD66" s="1492"/>
    </row>
    <row r="67" spans="13:30">
      <c r="M67" s="1498">
        <v>17</v>
      </c>
      <c r="N67" s="1498" t="s">
        <v>1835</v>
      </c>
      <c r="O67" s="1498" t="s">
        <v>1827</v>
      </c>
      <c r="P67" s="1498" t="s">
        <v>1811</v>
      </c>
      <c r="Q67" s="1499">
        <v>0.8528</v>
      </c>
      <c r="R67" s="1499">
        <v>0.9071</v>
      </c>
      <c r="S67" s="1499">
        <v>0.9857</v>
      </c>
      <c r="T67" s="1499">
        <v>0.0143</v>
      </c>
      <c r="U67" s="1499">
        <v>0</v>
      </c>
      <c r="V67" s="1499">
        <v>0</v>
      </c>
      <c r="W67" s="1499">
        <v>0</v>
      </c>
      <c r="X67" s="1500">
        <v>0.6</v>
      </c>
      <c r="Y67" s="1500">
        <v>0.104</v>
      </c>
      <c r="Z67" s="1496" t="str">
        <f t="shared" si="5"/>
        <v>中风险</v>
      </c>
      <c r="AA67" s="1500">
        <f>Y67-Y50</f>
        <v>-0.058</v>
      </c>
      <c r="AB67" s="1499">
        <f>Q67/Q50</f>
        <v>1.02920588945209</v>
      </c>
      <c r="AC67" s="1499">
        <f>R67/R50</f>
        <v>1.0241616800271</v>
      </c>
      <c r="AD67" s="1501" t="s">
        <v>1836</v>
      </c>
    </row>
    <row r="68" spans="13:30">
      <c r="M68" s="1498">
        <v>18</v>
      </c>
      <c r="N68" s="1498" t="s">
        <v>1837</v>
      </c>
      <c r="O68" s="1498" t="s">
        <v>1810</v>
      </c>
      <c r="P68" s="1498" t="s">
        <v>1838</v>
      </c>
      <c r="Q68" s="1499">
        <v>0.88</v>
      </c>
      <c r="R68" s="1499">
        <v>0.92</v>
      </c>
      <c r="S68" s="1499">
        <v>1</v>
      </c>
      <c r="T68" s="1499">
        <v>0</v>
      </c>
      <c r="U68" s="1499">
        <v>0</v>
      </c>
      <c r="V68" s="1499">
        <v>0</v>
      </c>
      <c r="W68" s="1499">
        <v>0</v>
      </c>
      <c r="X68" s="1500">
        <v>0.5</v>
      </c>
      <c r="Y68" s="1500">
        <v>0.125</v>
      </c>
      <c r="Z68" s="1496" t="str">
        <f t="shared" si="5"/>
        <v>中风险</v>
      </c>
      <c r="AA68" s="1500">
        <f>Y68-Y50</f>
        <v>-0.037</v>
      </c>
      <c r="AB68" s="1499">
        <f>Q68/Q50</f>
        <v>1.06203234371229</v>
      </c>
      <c r="AC68" s="1499">
        <f>R68/R50</f>
        <v>1.03872643107147</v>
      </c>
      <c r="AD68" s="1501" t="s">
        <v>1836</v>
      </c>
    </row>
    <row r="69" spans="13:30">
      <c r="M69" s="1498">
        <v>19</v>
      </c>
      <c r="N69" s="1498" t="s">
        <v>1837</v>
      </c>
      <c r="O69" s="1498" t="s">
        <v>1827</v>
      </c>
      <c r="P69" s="1498" t="s">
        <v>1838</v>
      </c>
      <c r="Q69" s="1499">
        <v>0.8557</v>
      </c>
      <c r="R69" s="1499">
        <v>0.9057</v>
      </c>
      <c r="S69" s="1499">
        <v>0.972</v>
      </c>
      <c r="T69" s="1499">
        <v>0.028</v>
      </c>
      <c r="U69" s="1499">
        <v>0</v>
      </c>
      <c r="V69" s="1499">
        <v>0</v>
      </c>
      <c r="W69" s="1499">
        <v>0</v>
      </c>
      <c r="X69" s="1500">
        <v>0.5</v>
      </c>
      <c r="Y69" s="1500">
        <v>0.13</v>
      </c>
      <c r="Z69" s="1496" t="str">
        <f t="shared" si="5"/>
        <v>中风险</v>
      </c>
      <c r="AA69" s="1500">
        <f>Y69-Y50</f>
        <v>-0.032</v>
      </c>
      <c r="AB69" s="1499">
        <f>Q69/Q50</f>
        <v>1.03270576876659</v>
      </c>
      <c r="AC69" s="1499">
        <f>R69/R50</f>
        <v>1.02258100937112</v>
      </c>
      <c r="AD69" s="1501" t="s">
        <v>1836</v>
      </c>
    </row>
    <row r="70" spans="13:30">
      <c r="M70" s="1498">
        <v>20</v>
      </c>
      <c r="N70" s="1498" t="s">
        <v>1839</v>
      </c>
      <c r="O70" s="1498" t="s">
        <v>1827</v>
      </c>
      <c r="P70" s="1498" t="s">
        <v>1840</v>
      </c>
      <c r="Q70" s="1499">
        <v>0.8571</v>
      </c>
      <c r="R70" s="1499">
        <v>0.9</v>
      </c>
      <c r="S70" s="1499">
        <v>0.96</v>
      </c>
      <c r="T70" s="1499">
        <v>0.04</v>
      </c>
      <c r="U70" s="1499">
        <v>0</v>
      </c>
      <c r="V70" s="1499">
        <v>0</v>
      </c>
      <c r="W70" s="1499">
        <v>0</v>
      </c>
      <c r="X70" s="1500">
        <v>0.6</v>
      </c>
      <c r="Y70" s="1500">
        <v>0.15</v>
      </c>
      <c r="Z70" s="1496" t="str">
        <f t="shared" si="5"/>
        <v>中风险</v>
      </c>
      <c r="AA70" s="1500">
        <f>Y70-Y50</f>
        <v>-0.012</v>
      </c>
      <c r="AB70" s="1499">
        <f>Q70/Q50</f>
        <v>1.03439536567705</v>
      </c>
      <c r="AC70" s="1499">
        <f>R70/R50</f>
        <v>1.01614542170035</v>
      </c>
      <c r="AD70" s="1501" t="s">
        <v>1836</v>
      </c>
    </row>
    <row r="71" spans="13:30">
      <c r="M71" s="1498">
        <v>21</v>
      </c>
      <c r="N71" s="1498" t="s">
        <v>1841</v>
      </c>
      <c r="O71" s="1498" t="s">
        <v>1842</v>
      </c>
      <c r="P71" s="1498" t="s">
        <v>1843</v>
      </c>
      <c r="Q71" s="1499">
        <v>0.9714</v>
      </c>
      <c r="R71" s="1499">
        <v>0.9714</v>
      </c>
      <c r="S71" s="1499">
        <v>0.9714</v>
      </c>
      <c r="T71" s="1499">
        <v>0</v>
      </c>
      <c r="U71" s="1499">
        <v>0.0286</v>
      </c>
      <c r="V71" s="1499">
        <v>0</v>
      </c>
      <c r="W71" s="1499">
        <v>0</v>
      </c>
      <c r="X71" s="1500">
        <v>0.4</v>
      </c>
      <c r="Y71" s="1500">
        <v>0.071</v>
      </c>
      <c r="Z71" s="1496" t="str">
        <f t="shared" si="5"/>
        <v>低风险</v>
      </c>
      <c r="AA71" s="1500">
        <f>Y71-Y50</f>
        <v>-0.091</v>
      </c>
      <c r="AB71" s="1499">
        <f>Q71/Q50</f>
        <v>1.17233888486604</v>
      </c>
      <c r="AC71" s="1499">
        <f>R71/R50</f>
        <v>1.09675962515524</v>
      </c>
      <c r="AD71" s="1501" t="s">
        <v>1836</v>
      </c>
    </row>
    <row r="72" spans="13:30">
      <c r="M72" s="1498">
        <v>22</v>
      </c>
      <c r="N72" s="1498" t="s">
        <v>1844</v>
      </c>
      <c r="O72" s="1498" t="s">
        <v>1842</v>
      </c>
      <c r="P72" s="1498" t="s">
        <v>1845</v>
      </c>
      <c r="Q72" s="1499">
        <v>0.9857</v>
      </c>
      <c r="R72" s="1499">
        <v>1</v>
      </c>
      <c r="S72" s="1499">
        <v>1</v>
      </c>
      <c r="T72" s="1499">
        <v>0</v>
      </c>
      <c r="U72" s="1499">
        <v>0</v>
      </c>
      <c r="V72" s="1499">
        <v>0</v>
      </c>
      <c r="W72" s="1499">
        <v>0</v>
      </c>
      <c r="X72" s="1500">
        <v>0.4</v>
      </c>
      <c r="Y72" s="1500">
        <v>0.055</v>
      </c>
      <c r="Z72" s="1496" t="str">
        <f t="shared" si="5"/>
        <v>低风险</v>
      </c>
      <c r="AA72" s="1500">
        <f>Y72-Y50</f>
        <v>-0.107</v>
      </c>
      <c r="AB72" s="1499">
        <f>Q72/Q50</f>
        <v>1.18959691045136</v>
      </c>
      <c r="AC72" s="1499">
        <f>R72/R50</f>
        <v>1.12905046855594</v>
      </c>
      <c r="AD72" s="1501" t="s">
        <v>1836</v>
      </c>
    </row>
    <row r="74" spans="13:13">
      <c r="M74" s="1418" t="s">
        <v>1846</v>
      </c>
    </row>
    <row r="75" spans="13:15">
      <c r="M75" s="1459" t="s">
        <v>1769</v>
      </c>
      <c r="N75" s="1462">
        <v>1.2</v>
      </c>
      <c r="O75" s="1459" t="s">
        <v>1847</v>
      </c>
    </row>
    <row r="76" spans="13:15">
      <c r="M76" s="1459" t="s">
        <v>1768</v>
      </c>
      <c r="N76" s="1462">
        <v>1</v>
      </c>
      <c r="O76" s="1459" t="s">
        <v>1848</v>
      </c>
    </row>
    <row r="77" spans="13:15">
      <c r="M77" s="1459" t="s">
        <v>1849</v>
      </c>
      <c r="N77" s="1462">
        <v>0.85</v>
      </c>
      <c r="O77" s="1459" t="s">
        <v>1850</v>
      </c>
    </row>
  </sheetData>
  <mergeCells count="42">
    <mergeCell ref="B1:C1"/>
    <mergeCell ref="D1:I1"/>
    <mergeCell ref="B2:C2"/>
    <mergeCell ref="D2:F2"/>
    <mergeCell ref="G2:I2"/>
    <mergeCell ref="N2:U2"/>
    <mergeCell ref="B3:C3"/>
    <mergeCell ref="D3:F3"/>
    <mergeCell ref="B4:C4"/>
    <mergeCell ref="D4:F4"/>
    <mergeCell ref="B6:C6"/>
    <mergeCell ref="D6:F6"/>
    <mergeCell ref="B7:C7"/>
    <mergeCell ref="D7:F7"/>
    <mergeCell ref="B8:C8"/>
    <mergeCell ref="D8:F8"/>
    <mergeCell ref="B9:C9"/>
    <mergeCell ref="D9:F9"/>
    <mergeCell ref="D10:E10"/>
    <mergeCell ref="B11:C11"/>
    <mergeCell ref="D11:F11"/>
    <mergeCell ref="D12:E12"/>
    <mergeCell ref="B13:C13"/>
    <mergeCell ref="D13:E13"/>
    <mergeCell ref="B14:C14"/>
    <mergeCell ref="D14:F14"/>
    <mergeCell ref="B15:C15"/>
    <mergeCell ref="D15:E15"/>
    <mergeCell ref="B16:C16"/>
    <mergeCell ref="D16:F16"/>
    <mergeCell ref="B17:C17"/>
    <mergeCell ref="D17:F17"/>
    <mergeCell ref="N17:U17"/>
    <mergeCell ref="N31:V31"/>
    <mergeCell ref="N39:V39"/>
    <mergeCell ref="M49:N49"/>
    <mergeCell ref="A1:A2"/>
    <mergeCell ref="M2:M3"/>
    <mergeCell ref="M17:M18"/>
    <mergeCell ref="M31:M32"/>
    <mergeCell ref="M39:M40"/>
    <mergeCell ref="M47:AA48"/>
  </mergeCells>
  <conditionalFormatting sqref="D11:F11">
    <cfRule type="cellIs" dxfId="3" priority="6" operator="lessThan">
      <formula>0.8</formula>
    </cfRule>
    <cfRule type="cellIs" dxfId="11" priority="7" operator="greaterThanOrEqual">
      <formula>0.9</formula>
    </cfRule>
    <cfRule type="cellIs" priority="8" operator="greaterThanOrEqual">
      <formula>0.9</formula>
    </cfRule>
    <cfRule type="cellIs" dxfId="12" priority="9" operator="between">
      <formula>0.8</formula>
      <formula>0.9</formula>
    </cfRule>
    <cfRule type="cellIs" dxfId="13" priority="10" operator="greaterThanOrEqual">
      <formula>0.95</formula>
    </cfRule>
  </conditionalFormatting>
  <conditionalFormatting sqref="D14:F14">
    <cfRule type="cellIs" dxfId="3" priority="3" operator="lessThan">
      <formula>0.9</formula>
    </cfRule>
    <cfRule type="cellIs" dxfId="12" priority="4" operator="between">
      <formula>0.9</formula>
      <formula>0.95</formula>
    </cfRule>
    <cfRule type="cellIs" dxfId="11" priority="5" operator="greaterThanOrEqual">
      <formula>0.95</formula>
    </cfRule>
  </conditionalFormatting>
  <conditionalFormatting sqref="D17:F17">
    <cfRule type="cellIs" dxfId="11" priority="2" operator="equal">
      <formula>"低风险"</formula>
    </cfRule>
    <cfRule type="cellIs" dxfId="12" priority="11" operator="equal">
      <formula>"中风险"</formula>
    </cfRule>
    <cfRule type="cellIs" dxfId="3" priority="12" operator="equal">
      <formula>"高风险"</formula>
    </cfRule>
    <cfRule type="cellIs" dxfId="14" priority="13" operator="equal">
      <formula>"低风险"</formula>
    </cfRule>
  </conditionalFormatting>
  <conditionalFormatting sqref="W50:Y72">
    <cfRule type="cellIs" dxfId="3" priority="1" operator="greaterThan">
      <formula>0.5</formula>
    </cfRule>
  </conditionalFormatting>
  <dataValidations count="6">
    <dataValidation type="list" allowBlank="1" showInputMessage="1" showErrorMessage="1" sqref="B4:C4 D9">
      <formula1>#REF!</formula1>
    </dataValidation>
    <dataValidation type="list" allowBlank="1" showInputMessage="1" showErrorMessage="1" sqref="D4:F4">
      <formula1>$M$75:$M$77</formula1>
    </dataValidation>
    <dataValidation type="list" allowBlank="1" showInputMessage="1" showErrorMessage="1" sqref="D8:F8">
      <formula1>$N$19:$N$24</formula1>
    </dataValidation>
    <dataValidation type="list" allowBlank="1" showInputMessage="1" showErrorMessage="1" sqref="E5">
      <formula1>$N$50:$N$72</formula1>
    </dataValidation>
    <dataValidation type="list" allowBlank="1" showInputMessage="1" showErrorMessage="1" sqref="D6:F6">
      <formula1>$O$33:$O$35</formula1>
    </dataValidation>
    <dataValidation type="list" allowBlank="1" showInputMessage="1" showErrorMessage="1" sqref="D7:F7">
      <formula1>$N$41:$N$42</formula1>
    </dataValidation>
  </dataValidations>
  <pageMargins left="0.7" right="0.7" top="0.75" bottom="0.75" header="0.3" footer="0.3"/>
  <pageSetup paperSize="9" orientation="portrait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8"/>
  <dimension ref="A1:CL47"/>
  <sheetViews>
    <sheetView zoomScale="85" zoomScaleNormal="85" workbookViewId="0">
      <pane xSplit="10" ySplit="6" topLeftCell="K28" activePane="bottomRight" state="frozen"/>
      <selection/>
      <selection pane="topRight"/>
      <selection pane="bottomLeft"/>
      <selection pane="bottomRight" activeCell="I3" sqref="I3"/>
    </sheetView>
  </sheetViews>
  <sheetFormatPr defaultColWidth="9" defaultRowHeight="14.4"/>
  <cols>
    <col min="1" max="1" width="9.88888888888889" style="1000" hidden="1" customWidth="1"/>
    <col min="2" max="2" width="32" style="1000" hidden="1" customWidth="1"/>
    <col min="3" max="3" width="11.2222222222222" style="1001" customWidth="1"/>
    <col min="4" max="4" width="10" style="1000" customWidth="1"/>
    <col min="5" max="5" width="19.6666666666667" style="1002" customWidth="1"/>
    <col min="6" max="6" width="8.66666666666667" style="1002" customWidth="1"/>
    <col min="7" max="7" width="13.6666666666667" style="1002" customWidth="1"/>
    <col min="8" max="8" width="9.66666666666667" style="1002" customWidth="1"/>
    <col min="9" max="9" width="8.44444444444444" style="1002" customWidth="1"/>
    <col min="10" max="10" width="8.33333333333333" style="1002" customWidth="1"/>
    <col min="11" max="11" width="6.66666666666667" style="1003" customWidth="1"/>
    <col min="12" max="12" width="9.44444444444444" style="1002" customWidth="1"/>
    <col min="13" max="13" width="10" style="1002" customWidth="1"/>
    <col min="14" max="14" width="13.7777777777778" style="1002" customWidth="1"/>
    <col min="15" max="15" width="10" style="1002" customWidth="1"/>
    <col min="16" max="16" width="8.33333333333333" style="1002" customWidth="1"/>
    <col min="17" max="17" width="34.3333333333333" style="1004" customWidth="1"/>
    <col min="18" max="18" width="9.11111111111111" style="1002" customWidth="1"/>
    <col min="19" max="19" width="10.8888888888889" style="1002" customWidth="1"/>
    <col min="20" max="20" width="10.4444444444444" style="1002" customWidth="1"/>
    <col min="21" max="21" width="10.6666666666667" style="1004" customWidth="1"/>
    <col min="22" max="22" width="17" style="1002" hidden="1" customWidth="1"/>
    <col min="23" max="23" width="12.2222222222222" style="1002" customWidth="1"/>
    <col min="24" max="24" width="10.7777777777778" style="1002" customWidth="1"/>
    <col min="25" max="25" width="24.3333333333333" style="1002" customWidth="1"/>
    <col min="26" max="26" width="11.4444444444444" style="1002" customWidth="1"/>
    <col min="27" max="27" width="14.1111111111111" style="1002" customWidth="1"/>
    <col min="28" max="29" width="19.6666666666667" style="1004" customWidth="1"/>
    <col min="30" max="30" width="20.7777777777778" style="1002" customWidth="1"/>
    <col min="31" max="31" width="17" style="1002" customWidth="1"/>
    <col min="32" max="32" width="8.66666666666667" style="1002" customWidth="1"/>
    <col min="33" max="36" width="17" style="1004" customWidth="1"/>
    <col min="37" max="38" width="17" style="1002" customWidth="1"/>
    <col min="39" max="39" width="17" style="1004" customWidth="1"/>
    <col min="40" max="40" width="7.77777777777778" style="1000" customWidth="1"/>
    <col min="41" max="82" width="17" style="1000" customWidth="1"/>
    <col min="83" max="90" width="17" style="1005" customWidth="1"/>
    <col min="91" max="92" width="17.4444444444444" style="1000" customWidth="1"/>
    <col min="93" max="93" width="27.8888888888889" style="1000" customWidth="1"/>
    <col min="94" max="16384" width="9" style="1000"/>
  </cols>
  <sheetData>
    <row r="1" spans="28:57">
      <c r="AB1" s="1002"/>
      <c r="AC1" s="1002"/>
      <c r="AG1" s="1002"/>
      <c r="AH1" s="1002"/>
      <c r="AI1" s="1002"/>
      <c r="AJ1" s="1002"/>
      <c r="AM1" s="1002"/>
      <c r="AN1" s="1002"/>
      <c r="AO1" s="1002"/>
      <c r="AP1" s="1002"/>
      <c r="AQ1" s="1002"/>
      <c r="AR1" s="1002"/>
      <c r="AS1" s="1002"/>
      <c r="AT1" s="1002"/>
      <c r="AU1" s="1002"/>
      <c r="AV1" s="1002"/>
      <c r="AW1" s="1002"/>
      <c r="AX1" s="1002"/>
      <c r="AY1" s="1002"/>
      <c r="AZ1" s="1002"/>
      <c r="BA1" s="1002"/>
      <c r="BB1" s="1002"/>
      <c r="BC1" s="1002"/>
      <c r="BD1" s="1002"/>
      <c r="BE1" s="1002"/>
    </row>
    <row r="2" s="981" customFormat="1" ht="46.5" customHeight="1" spans="3:90">
      <c r="C2" s="1006"/>
      <c r="E2" s="1007" t="s">
        <v>1851</v>
      </c>
      <c r="F2" s="1008" t="s">
        <v>1852</v>
      </c>
      <c r="G2" s="1007" t="s">
        <v>1853</v>
      </c>
      <c r="H2" s="1007" t="s">
        <v>1854</v>
      </c>
      <c r="I2" s="1008" t="s">
        <v>1855</v>
      </c>
      <c r="J2" s="1008" t="s">
        <v>1856</v>
      </c>
      <c r="K2" s="1008" t="s">
        <v>1857</v>
      </c>
      <c r="L2" s="1008" t="s">
        <v>1858</v>
      </c>
      <c r="M2" s="1008" t="s">
        <v>850</v>
      </c>
      <c r="N2" s="1008" t="s">
        <v>1859</v>
      </c>
      <c r="O2" s="1008" t="s">
        <v>865</v>
      </c>
      <c r="P2" s="1008" t="s">
        <v>102</v>
      </c>
      <c r="Q2" s="1008" t="s">
        <v>874</v>
      </c>
      <c r="R2" s="1008" t="s">
        <v>879</v>
      </c>
      <c r="S2" s="1008" t="s">
        <v>886</v>
      </c>
      <c r="T2" s="1008" t="s">
        <v>891</v>
      </c>
      <c r="U2" s="1008" t="s">
        <v>894</v>
      </c>
      <c r="V2" s="1008"/>
      <c r="W2" s="1008" t="s">
        <v>940</v>
      </c>
      <c r="X2" s="1008" t="s">
        <v>1860</v>
      </c>
      <c r="Y2" s="1008" t="s">
        <v>1861</v>
      </c>
      <c r="Z2" s="1008" t="s">
        <v>1862</v>
      </c>
      <c r="AA2" s="1008" t="s">
        <v>921</v>
      </c>
      <c r="AB2" s="1008" t="s">
        <v>1863</v>
      </c>
      <c r="AC2" s="1257" t="s">
        <v>1864</v>
      </c>
      <c r="CE2" s="1416"/>
      <c r="CF2" s="1416"/>
      <c r="CG2" s="1416"/>
      <c r="CH2" s="1416"/>
      <c r="CI2" s="1416"/>
      <c r="CJ2" s="1416"/>
      <c r="CK2" s="1416"/>
      <c r="CL2" s="1416"/>
    </row>
    <row r="3" s="982" customFormat="1" ht="41.1" customHeight="1" spans="3:90">
      <c r="C3" s="1009"/>
      <c r="E3" s="1010" t="str">
        <f>IF(亮度與BLU功耗!D6="","",亮度與BLU功耗!D6)</f>
        <v>NE140QUM-N61-5940</v>
      </c>
      <c r="F3" s="1010">
        <f>IF(E3="","",INDEX(K7:K46,MATCH(E3,E7:E46,0)))</f>
        <v>0.0495</v>
      </c>
      <c r="G3" s="1010" t="str">
        <f>IF(E3="","",INDEX(Q7:Q46,MATCH(E3,E7:E46,0)))</f>
        <v>3006(KSF+β-sailon(540)-日亞)-無Zener</v>
      </c>
      <c r="H3" s="1010">
        <f>IF(E3="","",INDEX(R7:R46,MATCH(E3,E7:E46,0)))</f>
        <v>80</v>
      </c>
      <c r="I3" s="1010">
        <f>IF(E3="","",INDEX(U7:U46,MATCH(E3,E7:E46,0)))</f>
        <v>8.25</v>
      </c>
      <c r="J3" s="1010">
        <f>IF(E3="","",INDEX(T7:T46,MATCH(E3,E7:E46,0)))</f>
        <v>20.8</v>
      </c>
      <c r="K3" s="1010">
        <f>IF(E3="","",INDEX(S7:S46,MATCH(E3,E7:E46,0)))</f>
        <v>2.9</v>
      </c>
      <c r="L3" s="1010">
        <f>IF(E3="","",INDEX(AF7:AF46,MATCH(E3,E7:E46,0)))</f>
        <v>5.55</v>
      </c>
      <c r="M3" s="1010" t="str">
        <f>IF(E3="","",INDEX(X7:X46,MATCH(E3,E7:E46,0)))</f>
        <v>JS568HK</v>
      </c>
      <c r="N3" s="1010" t="str">
        <f>IF(E3="","",INDEX(Y7:Y46,MATCH(E3,E7:E46,0)))</f>
        <v>HLS504-03/HS504E</v>
      </c>
      <c r="O3" s="1010" t="str">
        <f>IF(E3="","",INDEX(Z7:Z46,MATCH(E3,E7:E46,0)))</f>
        <v>CH196NU</v>
      </c>
      <c r="P3" s="1010" t="str">
        <f>IF(E3="","",INDEX(AD7:AD46,MATCH(E3,E7:E46,0)))</f>
        <v>EST100BS</v>
      </c>
      <c r="Q3" s="1010" t="str">
        <f>IF(E3="","",INDEX(AB7:AB46,MATCH(E3,E7:E46,0)))</f>
        <v>V-Cut</v>
      </c>
      <c r="R3" s="1010">
        <f>IF(E3="","",INDEX(AA7:AA46,MATCH(E3,E7:E46,0)))</f>
        <v>0.5</v>
      </c>
      <c r="S3" s="1010" t="str">
        <f>IF(E3="","",INDEX(AE7:AE46,MATCH(E3,E7:E46,0)))</f>
        <v>是(Normal)</v>
      </c>
      <c r="T3" s="1010" t="str">
        <f>IF(E3="","",INDEX(L7:L46,MATCH(E3,E7:E46,0)))</f>
        <v>309.31</v>
      </c>
      <c r="U3" s="1010" t="str">
        <f>IF(E3="","",INDEX(M7:M46,MATCH(E3,E7:E46,0)))</f>
        <v>173.99</v>
      </c>
      <c r="V3" s="1010"/>
      <c r="W3" s="1010">
        <f>IF(E3="","",INDEX(AK7:AK46,MATCH(E3,E7:E46,0)))</f>
        <v>0</v>
      </c>
      <c r="X3" s="1010">
        <f>IF(E3="","",INDEX(AG7:AG46,MATCH(E3,E7:E46,0)))</f>
        <v>9963</v>
      </c>
      <c r="Y3" s="1258">
        <f>IF(E3="","",INDEX(AH7:AH46,MATCH(E3,E7:E46,0)))</f>
        <v>0</v>
      </c>
      <c r="Z3" s="1258">
        <f>IF(E3="","",INDEX(AI7:AI46,MATCH(E3,E7:E46,0)))</f>
        <v>0</v>
      </c>
      <c r="AA3" s="1010">
        <f>IF(E3="","",INDEX(AJ7:AJ45,MATCH(E3,E7:E46,0)))</f>
        <v>0</v>
      </c>
      <c r="AB3" s="1010">
        <f>IF(E3="","",INDEX(AL7:AL45,MATCH(E3,E7:E46,0)))</f>
        <v>0</v>
      </c>
      <c r="AC3" s="1259" t="str">
        <f>IF(E3="","",INDEX(AC7:AC45,MATCH(E3,E7:E46,0)))</f>
        <v>PC 白</v>
      </c>
      <c r="CE3" s="1417"/>
      <c r="CF3" s="1417"/>
      <c r="CG3" s="1417"/>
      <c r="CH3" s="1417"/>
      <c r="CI3" s="1417"/>
      <c r="CJ3" s="1417"/>
      <c r="CK3" s="1417"/>
      <c r="CL3" s="1417"/>
    </row>
    <row r="4" spans="28:57">
      <c r="AB4" s="1002"/>
      <c r="AC4" s="1002"/>
      <c r="AG4" s="1002"/>
      <c r="AH4" s="1002"/>
      <c r="AI4" s="1002"/>
      <c r="AJ4" s="1002"/>
      <c r="AM4" s="1002"/>
      <c r="AN4" s="1002"/>
      <c r="AO4" s="1002"/>
      <c r="AP4" s="1002"/>
      <c r="AQ4" s="1002"/>
      <c r="AR4" s="1002"/>
      <c r="AS4" s="1002"/>
      <c r="AT4" s="1002"/>
      <c r="AU4" s="1002"/>
      <c r="AV4" s="1002"/>
      <c r="AW4" s="1002"/>
      <c r="AX4" s="1002"/>
      <c r="AY4" s="1002"/>
      <c r="AZ4" s="1002"/>
      <c r="BA4" s="1002"/>
      <c r="BB4" s="1002"/>
      <c r="BC4" s="1002"/>
      <c r="BD4" s="1002"/>
      <c r="BE4" s="1002"/>
    </row>
    <row r="5" ht="25.5" hidden="1" customHeight="1" spans="2:90">
      <c r="B5" s="1011" t="s">
        <v>1865</v>
      </c>
      <c r="C5" s="1012"/>
      <c r="D5" s="1013"/>
      <c r="E5" s="1014"/>
      <c r="F5" s="1015" t="s">
        <v>1866</v>
      </c>
      <c r="G5" s="1016" t="s">
        <v>1867</v>
      </c>
      <c r="H5" s="1016" t="s">
        <v>1868</v>
      </c>
      <c r="I5" s="1016" t="s">
        <v>1869</v>
      </c>
      <c r="J5" s="1016" t="s">
        <v>1870</v>
      </c>
      <c r="K5" s="1127" t="s">
        <v>1852</v>
      </c>
      <c r="L5" s="1128" t="s">
        <v>1871</v>
      </c>
      <c r="M5" s="1129"/>
      <c r="N5" s="1130" t="s">
        <v>710</v>
      </c>
      <c r="O5" s="1130"/>
      <c r="P5" s="1130"/>
      <c r="Q5" s="1130"/>
      <c r="R5" s="1130"/>
      <c r="S5" s="1130"/>
      <c r="T5" s="1130"/>
      <c r="U5" s="1130"/>
      <c r="V5" s="1218"/>
      <c r="W5" s="1219" t="s">
        <v>1589</v>
      </c>
      <c r="X5" s="1015" t="s">
        <v>1872</v>
      </c>
      <c r="Y5" s="1218" t="s">
        <v>1043</v>
      </c>
      <c r="Z5" s="1015" t="s">
        <v>865</v>
      </c>
      <c r="AA5" s="1015" t="s">
        <v>1873</v>
      </c>
      <c r="AB5" s="1130" t="s">
        <v>1874</v>
      </c>
      <c r="AC5" s="1130"/>
      <c r="AD5" s="1015" t="s">
        <v>1875</v>
      </c>
      <c r="AE5" s="1130" t="s">
        <v>1876</v>
      </c>
      <c r="AF5" s="1132" t="s">
        <v>1877</v>
      </c>
      <c r="AG5" s="1316"/>
      <c r="AH5" s="1316"/>
      <c r="AI5" s="1316"/>
      <c r="AJ5" s="1316"/>
      <c r="AK5" s="1132" t="s">
        <v>1878</v>
      </c>
      <c r="AL5" s="1317"/>
      <c r="AM5" s="1318"/>
      <c r="AN5" s="1013"/>
      <c r="CE5" s="1000"/>
      <c r="CF5" s="1000"/>
      <c r="CG5" s="1000"/>
      <c r="CH5" s="1000"/>
      <c r="CI5" s="1000"/>
      <c r="CJ5" s="1000"/>
      <c r="CK5" s="1000"/>
      <c r="CL5" s="1000"/>
    </row>
    <row r="6" s="983" customFormat="1" ht="29.25" customHeight="1" spans="2:41">
      <c r="B6" s="1011"/>
      <c r="C6" s="1017" t="s">
        <v>1879</v>
      </c>
      <c r="D6" s="1018" t="s">
        <v>1408</v>
      </c>
      <c r="E6" s="1015" t="s">
        <v>1880</v>
      </c>
      <c r="F6" s="1015"/>
      <c r="G6" s="1019"/>
      <c r="H6" s="1019"/>
      <c r="I6" s="1019"/>
      <c r="J6" s="1019"/>
      <c r="K6" s="1131"/>
      <c r="L6" s="1132" t="s">
        <v>1881</v>
      </c>
      <c r="M6" s="1132" t="s">
        <v>74</v>
      </c>
      <c r="N6" s="1015" t="s">
        <v>1585</v>
      </c>
      <c r="O6" s="1015" t="s">
        <v>1882</v>
      </c>
      <c r="P6" s="1015" t="s">
        <v>1883</v>
      </c>
      <c r="Q6" s="1015" t="s">
        <v>1884</v>
      </c>
      <c r="R6" s="1015" t="s">
        <v>1586</v>
      </c>
      <c r="S6" s="1015" t="s">
        <v>1885</v>
      </c>
      <c r="T6" s="1015" t="s">
        <v>1886</v>
      </c>
      <c r="U6" s="1132" t="s">
        <v>1887</v>
      </c>
      <c r="V6" s="1220" t="s">
        <v>1888</v>
      </c>
      <c r="W6" s="1221"/>
      <c r="X6" s="1015"/>
      <c r="Y6" s="1260"/>
      <c r="Z6" s="1015"/>
      <c r="AA6" s="1015"/>
      <c r="AB6" s="1019"/>
      <c r="AC6" s="1261" t="s">
        <v>1864</v>
      </c>
      <c r="AD6" s="1015"/>
      <c r="AE6" s="1019"/>
      <c r="AF6" s="1132"/>
      <c r="AG6" s="1132" t="s">
        <v>1889</v>
      </c>
      <c r="AH6" s="1132" t="s">
        <v>1890</v>
      </c>
      <c r="AI6" s="1132" t="s">
        <v>1891</v>
      </c>
      <c r="AJ6" s="1132" t="s">
        <v>1892</v>
      </c>
      <c r="AK6" s="1132"/>
      <c r="AL6" s="1132" t="s">
        <v>1893</v>
      </c>
      <c r="AM6" s="1132" t="s">
        <v>1894</v>
      </c>
      <c r="AN6" s="1011"/>
      <c r="AO6" s="1132" t="s">
        <v>113</v>
      </c>
    </row>
    <row r="7" s="984" customFormat="1" ht="35.25" customHeight="1" spans="1:41">
      <c r="A7" s="1020"/>
      <c r="B7" s="1021"/>
      <c r="C7" s="1022">
        <v>0</v>
      </c>
      <c r="D7" s="1023" t="s">
        <v>1895</v>
      </c>
      <c r="E7" s="1024" t="s">
        <v>1896</v>
      </c>
      <c r="F7" s="1025">
        <v>15.6</v>
      </c>
      <c r="G7" s="1026" t="s">
        <v>1897</v>
      </c>
      <c r="H7" s="1027" t="s">
        <v>1898</v>
      </c>
      <c r="I7" s="1027" t="s">
        <v>1899</v>
      </c>
      <c r="J7" s="1133" t="s">
        <v>12</v>
      </c>
      <c r="K7" s="1134">
        <v>0.041</v>
      </c>
      <c r="L7" s="1135">
        <v>344.22</v>
      </c>
      <c r="M7" s="1135">
        <v>193.62</v>
      </c>
      <c r="N7" s="1136" t="s">
        <v>1900</v>
      </c>
      <c r="O7" s="1137" t="s">
        <v>1901</v>
      </c>
      <c r="P7" s="1138"/>
      <c r="Q7" s="1222" t="s">
        <v>1902</v>
      </c>
      <c r="R7" s="1139">
        <v>72</v>
      </c>
      <c r="S7" s="1139">
        <v>5.8</v>
      </c>
      <c r="T7" s="1139">
        <v>22.8</v>
      </c>
      <c r="U7" s="1223">
        <v>14.5</v>
      </c>
      <c r="V7" s="1224"/>
      <c r="W7" s="1225" t="s">
        <v>12</v>
      </c>
      <c r="X7" s="1138" t="s">
        <v>1903</v>
      </c>
      <c r="Y7" s="1138" t="s">
        <v>1904</v>
      </c>
      <c r="Z7" s="1139" t="s">
        <v>1905</v>
      </c>
      <c r="AA7" s="1139">
        <v>0.6</v>
      </c>
      <c r="AB7" s="1262" t="s">
        <v>1906</v>
      </c>
      <c r="AC7" s="1263" t="s">
        <v>1907</v>
      </c>
      <c r="AD7" s="1264" t="s">
        <v>1908</v>
      </c>
      <c r="AE7" s="1265" t="s">
        <v>1909</v>
      </c>
      <c r="AF7" s="1266">
        <v>10.98</v>
      </c>
      <c r="AG7" s="1319">
        <v>15000</v>
      </c>
      <c r="AH7" s="1320">
        <v>0.92</v>
      </c>
      <c r="AI7" s="1320">
        <v>0.82</v>
      </c>
      <c r="AJ7" s="1321"/>
      <c r="AK7" s="1322">
        <v>615</v>
      </c>
      <c r="AL7" s="1322"/>
      <c r="AM7" s="1323">
        <v>2.6</v>
      </c>
      <c r="AN7" s="1324" t="s">
        <v>1910</v>
      </c>
      <c r="AO7" s="1398"/>
    </row>
    <row r="8" s="984" customFormat="1" ht="35.25" customHeight="1" spans="1:41">
      <c r="A8" s="1020"/>
      <c r="B8" s="1021"/>
      <c r="C8" s="1028">
        <v>-0.05</v>
      </c>
      <c r="D8" s="1029" t="s">
        <v>1895</v>
      </c>
      <c r="E8" s="1030" t="s">
        <v>1911</v>
      </c>
      <c r="F8" s="1025">
        <v>15.6</v>
      </c>
      <c r="G8" s="1026" t="s">
        <v>1897</v>
      </c>
      <c r="H8" s="1027" t="s">
        <v>1898</v>
      </c>
      <c r="I8" s="1027" t="s">
        <v>1899</v>
      </c>
      <c r="J8" s="1133" t="s">
        <v>12</v>
      </c>
      <c r="K8" s="1134">
        <v>0.0654</v>
      </c>
      <c r="L8" s="1135">
        <v>344.22</v>
      </c>
      <c r="M8" s="1135">
        <v>193.62</v>
      </c>
      <c r="N8" s="1139" t="s">
        <v>1912</v>
      </c>
      <c r="O8" s="1139" t="s">
        <v>1913</v>
      </c>
      <c r="P8" s="1138"/>
      <c r="Q8" s="1222" t="s">
        <v>1914</v>
      </c>
      <c r="R8" s="1139">
        <v>72</v>
      </c>
      <c r="S8" s="1139">
        <v>2.9</v>
      </c>
      <c r="T8" s="1139">
        <v>14.6</v>
      </c>
      <c r="U8" s="1223">
        <v>8.25</v>
      </c>
      <c r="V8" s="1224"/>
      <c r="W8" s="1226" t="s">
        <v>12</v>
      </c>
      <c r="X8" s="1138" t="s">
        <v>1915</v>
      </c>
      <c r="Y8" s="1138" t="s">
        <v>1916</v>
      </c>
      <c r="Z8" s="1139" t="s">
        <v>1905</v>
      </c>
      <c r="AA8" s="1139">
        <v>0.6</v>
      </c>
      <c r="AB8" s="1262" t="s">
        <v>1906</v>
      </c>
      <c r="AC8" s="1263" t="s">
        <v>1907</v>
      </c>
      <c r="AD8" s="1264" t="s">
        <v>1917</v>
      </c>
      <c r="AE8" s="1265" t="s">
        <v>1909</v>
      </c>
      <c r="AF8" s="1266">
        <v>3.43</v>
      </c>
      <c r="AG8" s="1319">
        <v>5500</v>
      </c>
      <c r="AH8" s="1325">
        <v>0.92</v>
      </c>
      <c r="AI8" s="1320">
        <v>0.75</v>
      </c>
      <c r="AJ8" s="1321"/>
      <c r="AK8" s="1322">
        <f>AG8*K8*0.9</f>
        <v>323.73</v>
      </c>
      <c r="AL8" s="1322"/>
      <c r="AM8" s="1323">
        <v>2.6</v>
      </c>
      <c r="AN8" s="1324" t="s">
        <v>1910</v>
      </c>
      <c r="AO8" s="1398"/>
    </row>
    <row r="9" s="984" customFormat="1" ht="35.25" customHeight="1" spans="1:41">
      <c r="A9" s="1020"/>
      <c r="B9" s="1021"/>
      <c r="C9" s="1031">
        <v>-0.03</v>
      </c>
      <c r="D9" s="1029" t="s">
        <v>1918</v>
      </c>
      <c r="E9" s="1030" t="s">
        <v>1919</v>
      </c>
      <c r="F9" s="1025">
        <v>15.6</v>
      </c>
      <c r="G9" s="1026" t="s">
        <v>1897</v>
      </c>
      <c r="H9" s="1027" t="s">
        <v>1898</v>
      </c>
      <c r="I9" s="1027" t="s">
        <v>1899</v>
      </c>
      <c r="J9" s="1133" t="s">
        <v>12</v>
      </c>
      <c r="K9" s="1134">
        <v>0.067</v>
      </c>
      <c r="L9" s="1135">
        <v>344.22</v>
      </c>
      <c r="M9" s="1135">
        <v>193.62</v>
      </c>
      <c r="N9" s="1139" t="s">
        <v>1912</v>
      </c>
      <c r="O9" s="1139" t="s">
        <v>1913</v>
      </c>
      <c r="P9" s="1138"/>
      <c r="Q9" s="1222" t="s">
        <v>1914</v>
      </c>
      <c r="R9" s="1139">
        <v>72</v>
      </c>
      <c r="S9" s="1139">
        <v>2.9</v>
      </c>
      <c r="T9" s="1139">
        <v>17.4</v>
      </c>
      <c r="U9" s="1223">
        <v>8.25</v>
      </c>
      <c r="V9" s="1224"/>
      <c r="W9" s="1226" t="s">
        <v>12</v>
      </c>
      <c r="X9" s="1138" t="s">
        <v>1915</v>
      </c>
      <c r="Y9" s="1138" t="s">
        <v>1916</v>
      </c>
      <c r="Z9" s="1139" t="s">
        <v>1905</v>
      </c>
      <c r="AA9" s="1139">
        <v>0.55</v>
      </c>
      <c r="AB9" s="1262" t="s">
        <v>1906</v>
      </c>
      <c r="AC9" s="1263" t="s">
        <v>1907</v>
      </c>
      <c r="AD9" s="1264" t="s">
        <v>1908</v>
      </c>
      <c r="AE9" s="1265" t="s">
        <v>1909</v>
      </c>
      <c r="AF9" s="1266">
        <v>3.18</v>
      </c>
      <c r="AG9" s="1319">
        <v>6430</v>
      </c>
      <c r="AH9" s="1320">
        <v>0.91</v>
      </c>
      <c r="AI9" s="1320">
        <v>0.78</v>
      </c>
      <c r="AJ9" s="1321"/>
      <c r="AK9" s="1322">
        <f>AG9*K9*0.93</f>
        <v>400.6533</v>
      </c>
      <c r="AL9" s="1322"/>
      <c r="AM9" s="1323">
        <v>2.6</v>
      </c>
      <c r="AN9" s="1324" t="s">
        <v>1910</v>
      </c>
      <c r="AO9" s="1398"/>
    </row>
    <row r="10" s="985" customFormat="1" ht="35.25" customHeight="1" spans="1:41">
      <c r="A10" s="1020"/>
      <c r="B10" s="1032"/>
      <c r="C10" s="1033">
        <v>0</v>
      </c>
      <c r="D10" s="1034" t="s">
        <v>1918</v>
      </c>
      <c r="E10" s="1035" t="s">
        <v>1920</v>
      </c>
      <c r="F10" s="1036">
        <v>12.61</v>
      </c>
      <c r="G10" s="1036" t="s">
        <v>1921</v>
      </c>
      <c r="H10" s="1037" t="s">
        <v>1922</v>
      </c>
      <c r="I10" s="1036" t="s">
        <v>1923</v>
      </c>
      <c r="J10" s="1140" t="s">
        <v>12</v>
      </c>
      <c r="K10" s="1141">
        <v>0.0528</v>
      </c>
      <c r="L10" s="1142" t="s">
        <v>1924</v>
      </c>
      <c r="M10" s="1142" t="s">
        <v>1925</v>
      </c>
      <c r="N10" s="1143" t="s">
        <v>1926</v>
      </c>
      <c r="O10" s="1140" t="s">
        <v>1927</v>
      </c>
      <c r="P10" s="1144"/>
      <c r="Q10" s="1144" t="s">
        <v>1928</v>
      </c>
      <c r="R10" s="1036">
        <v>48</v>
      </c>
      <c r="S10" s="1144">
        <v>2.9</v>
      </c>
      <c r="T10" s="1036">
        <v>8.5</v>
      </c>
      <c r="U10" s="1144">
        <v>8.75</v>
      </c>
      <c r="V10" s="1227"/>
      <c r="W10" s="1228" t="s">
        <v>1929</v>
      </c>
      <c r="X10" s="1146" t="s">
        <v>1915</v>
      </c>
      <c r="Y10" s="1146" t="s">
        <v>1916</v>
      </c>
      <c r="Z10" s="1142" t="s">
        <v>1905</v>
      </c>
      <c r="AA10" s="1144">
        <v>0.8</v>
      </c>
      <c r="AB10" s="1144" t="s">
        <v>906</v>
      </c>
      <c r="AC10" s="1263" t="s">
        <v>1907</v>
      </c>
      <c r="AD10" s="1267" t="s">
        <v>1908</v>
      </c>
      <c r="AE10" s="1268" t="s">
        <v>1930</v>
      </c>
      <c r="AF10" s="1036">
        <v>1.25</v>
      </c>
      <c r="AG10" s="1036">
        <v>5613</v>
      </c>
      <c r="AH10" s="1326">
        <v>0.948</v>
      </c>
      <c r="AI10" s="1326">
        <v>0.899</v>
      </c>
      <c r="AJ10" s="1327"/>
      <c r="AK10" s="1036">
        <v>283.8</v>
      </c>
      <c r="AL10" s="1036"/>
      <c r="AM10" s="1328">
        <v>3</v>
      </c>
      <c r="AN10" s="1329" t="s">
        <v>1931</v>
      </c>
      <c r="AO10" s="1399"/>
    </row>
    <row r="11" s="985" customFormat="1" ht="35.25" customHeight="1" spans="1:41">
      <c r="A11" s="1020"/>
      <c r="B11" s="1038"/>
      <c r="C11" s="1039">
        <v>-0.01</v>
      </c>
      <c r="D11" s="1034" t="s">
        <v>1918</v>
      </c>
      <c r="E11" s="1035" t="s">
        <v>1932</v>
      </c>
      <c r="F11" s="1036">
        <v>14.09</v>
      </c>
      <c r="G11" s="1036" t="s">
        <v>1933</v>
      </c>
      <c r="H11" s="1036" t="s">
        <v>1898</v>
      </c>
      <c r="I11" s="1145" t="s">
        <v>1899</v>
      </c>
      <c r="J11" s="1140" t="s">
        <v>12</v>
      </c>
      <c r="K11" s="1141">
        <v>0.0557</v>
      </c>
      <c r="L11" s="1146" t="s">
        <v>1934</v>
      </c>
      <c r="M11" s="1142" t="s">
        <v>1935</v>
      </c>
      <c r="N11" s="1139" t="s">
        <v>1912</v>
      </c>
      <c r="O11" s="1139" t="s">
        <v>1913</v>
      </c>
      <c r="P11" s="1144"/>
      <c r="Q11" s="1144" t="s">
        <v>1936</v>
      </c>
      <c r="R11" s="1036">
        <v>60</v>
      </c>
      <c r="S11" s="1144">
        <v>2.9</v>
      </c>
      <c r="T11" s="1036">
        <v>9.5</v>
      </c>
      <c r="U11" s="1144">
        <v>8.5</v>
      </c>
      <c r="V11" s="1229"/>
      <c r="W11" s="1140" t="s">
        <v>12</v>
      </c>
      <c r="X11" s="1146" t="s">
        <v>1915</v>
      </c>
      <c r="Y11" s="1146" t="s">
        <v>1916</v>
      </c>
      <c r="Z11" s="1142" t="s">
        <v>1905</v>
      </c>
      <c r="AA11" s="1144">
        <v>0.6</v>
      </c>
      <c r="AB11" s="1144" t="s">
        <v>906</v>
      </c>
      <c r="AC11" s="1263" t="s">
        <v>1907</v>
      </c>
      <c r="AD11" s="1144" t="s">
        <v>1917</v>
      </c>
      <c r="AE11" s="1268" t="s">
        <v>1930</v>
      </c>
      <c r="AF11" s="1036">
        <v>1.85</v>
      </c>
      <c r="AG11" s="1036">
        <v>5668</v>
      </c>
      <c r="AH11" s="1326">
        <v>0.945</v>
      </c>
      <c r="AI11" s="1326">
        <v>0.864</v>
      </c>
      <c r="AJ11" s="1327"/>
      <c r="AK11" s="1036">
        <v>317</v>
      </c>
      <c r="AL11" s="1036"/>
      <c r="AM11" s="1328">
        <v>2.5</v>
      </c>
      <c r="AN11" s="1329" t="s">
        <v>1931</v>
      </c>
      <c r="AO11" s="1399"/>
    </row>
    <row r="12" s="986" customFormat="1" ht="35.25" customHeight="1" spans="1:41">
      <c r="A12" s="1020"/>
      <c r="B12" s="1040"/>
      <c r="C12" s="1039">
        <v>-0.12</v>
      </c>
      <c r="D12" s="1041" t="s">
        <v>1895</v>
      </c>
      <c r="E12" s="1042" t="s">
        <v>1937</v>
      </c>
      <c r="F12" s="1043">
        <v>16.1</v>
      </c>
      <c r="G12" s="1043" t="s">
        <v>1921</v>
      </c>
      <c r="H12" s="1043" t="s">
        <v>1898</v>
      </c>
      <c r="I12" s="1043" t="s">
        <v>1923</v>
      </c>
      <c r="J12" s="1147" t="s">
        <v>12</v>
      </c>
      <c r="K12" s="1148">
        <v>0.056</v>
      </c>
      <c r="L12" s="1149" t="s">
        <v>1938</v>
      </c>
      <c r="M12" s="1149" t="s">
        <v>1939</v>
      </c>
      <c r="N12" s="1150" t="s">
        <v>1926</v>
      </c>
      <c r="O12" s="1147" t="s">
        <v>1927</v>
      </c>
      <c r="P12" s="1150"/>
      <c r="Q12" s="1150" t="s">
        <v>1928</v>
      </c>
      <c r="R12" s="1043">
        <v>60</v>
      </c>
      <c r="S12" s="1150">
        <v>2.9</v>
      </c>
      <c r="T12" s="1043">
        <v>17.5</v>
      </c>
      <c r="U12" s="1150">
        <v>8.75</v>
      </c>
      <c r="V12" s="1043"/>
      <c r="W12" s="1147" t="s">
        <v>12</v>
      </c>
      <c r="X12" s="1230" t="s">
        <v>1903</v>
      </c>
      <c r="Y12" s="1149" t="s">
        <v>1940</v>
      </c>
      <c r="Z12" s="1149" t="s">
        <v>1941</v>
      </c>
      <c r="AA12" s="1150">
        <v>0.7</v>
      </c>
      <c r="AB12" s="1150" t="s">
        <v>1906</v>
      </c>
      <c r="AC12" s="1269" t="s">
        <v>1907</v>
      </c>
      <c r="AD12" s="1270" t="s">
        <v>1942</v>
      </c>
      <c r="AE12" s="1271" t="s">
        <v>1930</v>
      </c>
      <c r="AF12" s="1043">
        <v>3.4</v>
      </c>
      <c r="AG12" s="1043">
        <v>5332</v>
      </c>
      <c r="AH12" s="1330">
        <v>0.93</v>
      </c>
      <c r="AI12" s="1330">
        <v>0.8</v>
      </c>
      <c r="AJ12" s="1331"/>
      <c r="AK12" s="1043">
        <v>285</v>
      </c>
      <c r="AL12" s="1043"/>
      <c r="AM12" s="1332">
        <v>3.2</v>
      </c>
      <c r="AN12" s="1333" t="s">
        <v>1931</v>
      </c>
      <c r="AO12" s="1400"/>
    </row>
    <row r="13" s="986" customFormat="1" ht="35.25" customHeight="1" spans="1:41">
      <c r="A13" s="1020"/>
      <c r="B13" s="1040"/>
      <c r="C13" s="1039">
        <v>-0.09</v>
      </c>
      <c r="D13" s="1041" t="s">
        <v>1895</v>
      </c>
      <c r="E13" s="1042" t="s">
        <v>1943</v>
      </c>
      <c r="F13" s="1043">
        <v>16.1</v>
      </c>
      <c r="G13" s="1043" t="s">
        <v>1933</v>
      </c>
      <c r="H13" s="1043" t="s">
        <v>1898</v>
      </c>
      <c r="I13" s="1043" t="s">
        <v>1923</v>
      </c>
      <c r="J13" s="1147" t="s">
        <v>12</v>
      </c>
      <c r="K13" s="1148">
        <v>0.041</v>
      </c>
      <c r="L13" s="1149" t="s">
        <v>1938</v>
      </c>
      <c r="M13" s="1149" t="s">
        <v>1939</v>
      </c>
      <c r="N13" s="1150" t="s">
        <v>1926</v>
      </c>
      <c r="O13" s="1147" t="s">
        <v>1927</v>
      </c>
      <c r="P13" s="1150"/>
      <c r="Q13" s="1150" t="s">
        <v>1928</v>
      </c>
      <c r="R13" s="1043">
        <v>66</v>
      </c>
      <c r="S13" s="1150">
        <v>2.9</v>
      </c>
      <c r="T13" s="1043">
        <v>24.2</v>
      </c>
      <c r="U13" s="1150">
        <v>9.5</v>
      </c>
      <c r="V13" s="1043"/>
      <c r="W13" s="1147" t="s">
        <v>12</v>
      </c>
      <c r="X13" s="1230" t="s">
        <v>1903</v>
      </c>
      <c r="Y13" s="1149" t="s">
        <v>1940</v>
      </c>
      <c r="Z13" s="1149" t="s">
        <v>1905</v>
      </c>
      <c r="AA13" s="1150">
        <v>0.7</v>
      </c>
      <c r="AB13" s="1150" t="s">
        <v>1906</v>
      </c>
      <c r="AC13" s="1269" t="s">
        <v>1907</v>
      </c>
      <c r="AD13" s="1270" t="s">
        <v>1908</v>
      </c>
      <c r="AE13" s="1271" t="s">
        <v>1944</v>
      </c>
      <c r="AF13" s="1043">
        <v>5.21</v>
      </c>
      <c r="AG13" s="1043">
        <v>8609</v>
      </c>
      <c r="AH13" s="1330">
        <v>0.89</v>
      </c>
      <c r="AI13" s="1330">
        <v>0.82</v>
      </c>
      <c r="AJ13" s="1331"/>
      <c r="AK13" s="1043">
        <v>350</v>
      </c>
      <c r="AL13" s="1043"/>
      <c r="AM13" s="1332">
        <v>3.2</v>
      </c>
      <c r="AN13" s="1333" t="s">
        <v>1931</v>
      </c>
      <c r="AO13" s="1400"/>
    </row>
    <row r="14" s="986" customFormat="1" ht="35.25" customHeight="1" spans="1:41">
      <c r="A14" s="1020"/>
      <c r="B14" s="1040"/>
      <c r="C14" s="1039">
        <v>-0.09</v>
      </c>
      <c r="D14" s="1041" t="s">
        <v>1895</v>
      </c>
      <c r="E14" s="1042" t="s">
        <v>1945</v>
      </c>
      <c r="F14" s="1043">
        <v>16.1</v>
      </c>
      <c r="G14" s="1043" t="s">
        <v>1933</v>
      </c>
      <c r="H14" s="1043" t="s">
        <v>1898</v>
      </c>
      <c r="I14" s="1043" t="s">
        <v>1923</v>
      </c>
      <c r="J14" s="1147" t="s">
        <v>12</v>
      </c>
      <c r="K14" s="1148">
        <v>0.0428</v>
      </c>
      <c r="L14" s="1149" t="s">
        <v>1938</v>
      </c>
      <c r="M14" s="1149" t="s">
        <v>1939</v>
      </c>
      <c r="N14" s="1150" t="s">
        <v>1926</v>
      </c>
      <c r="O14" s="1147" t="s">
        <v>1927</v>
      </c>
      <c r="P14" s="1150"/>
      <c r="Q14" s="1150" t="s">
        <v>1928</v>
      </c>
      <c r="R14" s="1043">
        <v>66</v>
      </c>
      <c r="S14" s="1150">
        <v>2.9</v>
      </c>
      <c r="T14" s="1043">
        <v>24</v>
      </c>
      <c r="U14" s="1150">
        <v>9.25</v>
      </c>
      <c r="V14" s="1043"/>
      <c r="W14" s="1147" t="s">
        <v>12</v>
      </c>
      <c r="X14" s="1230" t="s">
        <v>1903</v>
      </c>
      <c r="Y14" s="1149" t="s">
        <v>1940</v>
      </c>
      <c r="Z14" s="1149" t="s">
        <v>1905</v>
      </c>
      <c r="AA14" s="1150">
        <v>0.7</v>
      </c>
      <c r="AB14" s="1150" t="s">
        <v>1906</v>
      </c>
      <c r="AC14" s="1269" t="s">
        <v>1907</v>
      </c>
      <c r="AD14" s="1270" t="s">
        <v>1908</v>
      </c>
      <c r="AE14" s="1271" t="s">
        <v>1944</v>
      </c>
      <c r="AF14" s="1043">
        <v>5.14</v>
      </c>
      <c r="AG14" s="1043">
        <v>8319</v>
      </c>
      <c r="AH14" s="1330">
        <v>0.89</v>
      </c>
      <c r="AI14" s="1330">
        <v>0.83</v>
      </c>
      <c r="AJ14" s="1331"/>
      <c r="AK14" s="1043">
        <v>328</v>
      </c>
      <c r="AL14" s="1043"/>
      <c r="AM14" s="1332">
        <v>3.2</v>
      </c>
      <c r="AN14" s="1333" t="s">
        <v>1931</v>
      </c>
      <c r="AO14" s="1400"/>
    </row>
    <row r="15" s="987" customFormat="1" ht="35.25" customHeight="1" spans="1:41">
      <c r="A15" s="1020"/>
      <c r="B15" s="1044"/>
      <c r="C15" s="1033">
        <v>-0.09</v>
      </c>
      <c r="D15" s="1045" t="s">
        <v>1946</v>
      </c>
      <c r="E15" s="1046" t="s">
        <v>1947</v>
      </c>
      <c r="F15" s="1047">
        <v>14</v>
      </c>
      <c r="G15" s="1048" t="s">
        <v>1948</v>
      </c>
      <c r="H15" s="1047" t="s">
        <v>1898</v>
      </c>
      <c r="I15" s="1047" t="s">
        <v>1923</v>
      </c>
      <c r="J15" s="1151" t="s">
        <v>12</v>
      </c>
      <c r="K15" s="1152">
        <v>0.057</v>
      </c>
      <c r="L15" s="1153">
        <v>309.31</v>
      </c>
      <c r="M15" s="1153">
        <v>173.99</v>
      </c>
      <c r="N15" s="1154" t="s">
        <v>1949</v>
      </c>
      <c r="O15" s="1155" t="s">
        <v>1950</v>
      </c>
      <c r="P15" s="1156"/>
      <c r="Q15" s="1231" t="s">
        <v>1951</v>
      </c>
      <c r="R15" s="1157">
        <v>36</v>
      </c>
      <c r="S15" s="1157">
        <v>2.9</v>
      </c>
      <c r="T15" s="1157">
        <v>18.7</v>
      </c>
      <c r="U15" s="1154">
        <v>8</v>
      </c>
      <c r="V15" s="1154"/>
      <c r="W15" s="1155" t="s">
        <v>9</v>
      </c>
      <c r="X15" s="1157" t="s">
        <v>1952</v>
      </c>
      <c r="Y15" s="1156" t="s">
        <v>1953</v>
      </c>
      <c r="Z15" s="1157" t="s">
        <v>1954</v>
      </c>
      <c r="AA15" s="1157">
        <v>0.6</v>
      </c>
      <c r="AB15" s="1272" t="s">
        <v>1906</v>
      </c>
      <c r="AC15" s="1269" t="s">
        <v>1907</v>
      </c>
      <c r="AD15" s="1273" t="s">
        <v>1917</v>
      </c>
      <c r="AE15" s="1274" t="s">
        <v>1955</v>
      </c>
      <c r="AF15" s="1275">
        <v>2.15</v>
      </c>
      <c r="AG15" s="1334">
        <v>4490</v>
      </c>
      <c r="AH15" s="1335">
        <v>0.93</v>
      </c>
      <c r="AI15" s="1335">
        <v>0.81</v>
      </c>
      <c r="AJ15" s="1336"/>
      <c r="AK15" s="1337">
        <v>262</v>
      </c>
      <c r="AL15" s="1337"/>
      <c r="AM15" s="1338">
        <v>3</v>
      </c>
      <c r="AN15" s="1339" t="s">
        <v>1956</v>
      </c>
      <c r="AO15" s="1401"/>
    </row>
    <row r="16" s="987" customFormat="1" ht="35.25" customHeight="1" spans="1:41">
      <c r="A16" s="1020"/>
      <c r="B16" s="1044"/>
      <c r="C16" s="1028">
        <v>-0.08</v>
      </c>
      <c r="D16" s="1045" t="s">
        <v>1957</v>
      </c>
      <c r="E16" s="1046" t="s">
        <v>1958</v>
      </c>
      <c r="F16" s="1047">
        <v>14</v>
      </c>
      <c r="G16" s="1048" t="s">
        <v>1897</v>
      </c>
      <c r="H16" s="1047" t="s">
        <v>1898</v>
      </c>
      <c r="I16" s="1047" t="s">
        <v>1923</v>
      </c>
      <c r="J16" s="1151" t="s">
        <v>12</v>
      </c>
      <c r="K16" s="1152">
        <v>0.057</v>
      </c>
      <c r="L16" s="1153">
        <v>309.31</v>
      </c>
      <c r="M16" s="1153">
        <v>173.99</v>
      </c>
      <c r="N16" s="1157" t="s">
        <v>1959</v>
      </c>
      <c r="O16" s="1155" t="s">
        <v>1927</v>
      </c>
      <c r="P16" s="1156"/>
      <c r="Q16" s="1231" t="s">
        <v>1960</v>
      </c>
      <c r="R16" s="1157">
        <v>54</v>
      </c>
      <c r="S16" s="1157">
        <v>2.9</v>
      </c>
      <c r="T16" s="1157">
        <v>19.7</v>
      </c>
      <c r="U16" s="1154">
        <v>8.25</v>
      </c>
      <c r="V16" s="1154"/>
      <c r="W16" s="1155" t="s">
        <v>12</v>
      </c>
      <c r="X16" s="1157" t="s">
        <v>1915</v>
      </c>
      <c r="Y16" s="1156" t="s">
        <v>1961</v>
      </c>
      <c r="Z16" s="1157" t="s">
        <v>1962</v>
      </c>
      <c r="AA16" s="1157">
        <v>0.5</v>
      </c>
      <c r="AB16" s="1272" t="s">
        <v>1906</v>
      </c>
      <c r="AC16" s="1269" t="s">
        <v>1907</v>
      </c>
      <c r="AD16" s="1273" t="s">
        <v>1917</v>
      </c>
      <c r="AE16" s="1274" t="s">
        <v>1955</v>
      </c>
      <c r="AF16" s="1275">
        <v>3.4</v>
      </c>
      <c r="AG16" s="1334">
        <v>6660</v>
      </c>
      <c r="AH16" s="1335">
        <v>0.92</v>
      </c>
      <c r="AI16" s="1335">
        <v>0.82</v>
      </c>
      <c r="AJ16" s="1336"/>
      <c r="AK16" s="1337">
        <v>380</v>
      </c>
      <c r="AL16" s="1337"/>
      <c r="AM16" s="1338">
        <v>2.4</v>
      </c>
      <c r="AN16" s="1339" t="s">
        <v>1956</v>
      </c>
      <c r="AO16" s="1401"/>
    </row>
    <row r="17" s="988" customFormat="1" ht="35.25" customHeight="1" spans="1:41">
      <c r="A17" s="1020"/>
      <c r="B17" s="1049"/>
      <c r="C17" s="1039"/>
      <c r="D17" s="1050" t="s">
        <v>1963</v>
      </c>
      <c r="E17" s="1051" t="s">
        <v>1964</v>
      </c>
      <c r="F17" s="1052">
        <v>13.3</v>
      </c>
      <c r="G17" s="1053" t="s">
        <v>1965</v>
      </c>
      <c r="H17" s="1052" t="s">
        <v>1898</v>
      </c>
      <c r="I17" s="1052" t="s">
        <v>1923</v>
      </c>
      <c r="J17" s="1158" t="s">
        <v>12</v>
      </c>
      <c r="K17" s="1159">
        <v>0.073</v>
      </c>
      <c r="L17" s="1160">
        <v>293.76</v>
      </c>
      <c r="M17" s="1160">
        <v>165.24</v>
      </c>
      <c r="N17" s="1160" t="s">
        <v>1966</v>
      </c>
      <c r="O17" s="1160" t="s">
        <v>1967</v>
      </c>
      <c r="P17" s="1161"/>
      <c r="Q17" s="1232" t="s">
        <v>1968</v>
      </c>
      <c r="R17" s="1160">
        <v>60</v>
      </c>
      <c r="S17" s="1160">
        <v>2.9</v>
      </c>
      <c r="T17" s="1160">
        <v>21</v>
      </c>
      <c r="U17" s="1167" t="s">
        <v>1969</v>
      </c>
      <c r="V17" s="1160"/>
      <c r="W17" s="1233" t="s">
        <v>12</v>
      </c>
      <c r="X17" s="1160" t="s">
        <v>1915</v>
      </c>
      <c r="Y17" s="1161" t="s">
        <v>1916</v>
      </c>
      <c r="Z17" s="1276" t="s">
        <v>1970</v>
      </c>
      <c r="AA17" s="1160">
        <v>0.5</v>
      </c>
      <c r="AB17" s="1277" t="s">
        <v>1971</v>
      </c>
      <c r="AC17" s="1278" t="s">
        <v>1972</v>
      </c>
      <c r="AD17" s="1279" t="s">
        <v>1973</v>
      </c>
      <c r="AE17" s="1160" t="s">
        <v>1974</v>
      </c>
      <c r="AF17" s="1280"/>
      <c r="AG17" s="1160">
        <v>6016</v>
      </c>
      <c r="AH17" s="1340">
        <v>0.88</v>
      </c>
      <c r="AI17" s="1340">
        <v>0.82</v>
      </c>
      <c r="AJ17" s="1341"/>
      <c r="AK17" s="1161">
        <v>454</v>
      </c>
      <c r="AL17" s="1161"/>
      <c r="AM17" s="1342">
        <v>2.588</v>
      </c>
      <c r="AN17" s="1343" t="s">
        <v>1975</v>
      </c>
      <c r="AO17" s="1402"/>
    </row>
    <row r="18" s="988" customFormat="1" ht="35.25" customHeight="1" spans="1:41">
      <c r="A18" s="1020"/>
      <c r="B18" s="1049"/>
      <c r="C18" s="1039"/>
      <c r="D18" s="1050" t="s">
        <v>1963</v>
      </c>
      <c r="E18" s="1051" t="s">
        <v>1976</v>
      </c>
      <c r="F18" s="1052">
        <v>13.3</v>
      </c>
      <c r="G18" s="1053" t="s">
        <v>1965</v>
      </c>
      <c r="H18" s="1052" t="s">
        <v>1898</v>
      </c>
      <c r="I18" s="1052" t="s">
        <v>1923</v>
      </c>
      <c r="J18" s="1158" t="s">
        <v>12</v>
      </c>
      <c r="K18" s="1159">
        <v>0.073</v>
      </c>
      <c r="L18" s="1160">
        <v>293.76</v>
      </c>
      <c r="M18" s="1160">
        <v>165.24</v>
      </c>
      <c r="N18" s="1160" t="s">
        <v>1966</v>
      </c>
      <c r="O18" s="1160" t="s">
        <v>1967</v>
      </c>
      <c r="P18" s="1161"/>
      <c r="Q18" s="1232" t="s">
        <v>1968</v>
      </c>
      <c r="R18" s="1160">
        <v>60</v>
      </c>
      <c r="S18" s="1160">
        <v>2.9</v>
      </c>
      <c r="T18" s="1160">
        <v>21</v>
      </c>
      <c r="U18" s="1167" t="s">
        <v>1969</v>
      </c>
      <c r="V18" s="1160"/>
      <c r="W18" s="1233" t="s">
        <v>12</v>
      </c>
      <c r="X18" s="1160" t="s">
        <v>1915</v>
      </c>
      <c r="Y18" s="1161" t="s">
        <v>1916</v>
      </c>
      <c r="Z18" s="1276" t="s">
        <v>1970</v>
      </c>
      <c r="AA18" s="1160">
        <v>0.5</v>
      </c>
      <c r="AB18" s="1277" t="s">
        <v>1971</v>
      </c>
      <c r="AC18" s="1278" t="s">
        <v>1972</v>
      </c>
      <c r="AD18" s="1279" t="s">
        <v>1973</v>
      </c>
      <c r="AE18" s="1160" t="s">
        <v>1974</v>
      </c>
      <c r="AF18" s="1280"/>
      <c r="AG18" s="1160">
        <v>6016</v>
      </c>
      <c r="AH18" s="1340">
        <v>0.88</v>
      </c>
      <c r="AI18" s="1340">
        <v>0.82</v>
      </c>
      <c r="AJ18" s="1341"/>
      <c r="AK18" s="1161">
        <v>454</v>
      </c>
      <c r="AL18" s="1161"/>
      <c r="AM18" s="1342">
        <v>2.377</v>
      </c>
      <c r="AN18" s="1343" t="s">
        <v>1975</v>
      </c>
      <c r="AO18" s="1402"/>
    </row>
    <row r="19" s="989" customFormat="1" ht="44.25" customHeight="1" spans="1:41">
      <c r="A19" s="1020"/>
      <c r="B19" s="1054"/>
      <c r="C19" s="1055">
        <v>0.04</v>
      </c>
      <c r="D19" s="1056" t="s">
        <v>1977</v>
      </c>
      <c r="E19" s="1057" t="s">
        <v>1978</v>
      </c>
      <c r="F19" s="1058">
        <v>11.6</v>
      </c>
      <c r="G19" s="1058" t="s">
        <v>1979</v>
      </c>
      <c r="H19" s="1058" t="s">
        <v>1922</v>
      </c>
      <c r="I19" s="1058" t="s">
        <v>1980</v>
      </c>
      <c r="J19" s="1058" t="s">
        <v>1929</v>
      </c>
      <c r="K19" s="1162">
        <v>0.052</v>
      </c>
      <c r="L19" s="1163" t="s">
        <v>1981</v>
      </c>
      <c r="M19" s="1163">
        <v>144</v>
      </c>
      <c r="N19" s="1163" t="s">
        <v>1926</v>
      </c>
      <c r="O19" s="1163" t="s">
        <v>1982</v>
      </c>
      <c r="P19" s="1163" t="s">
        <v>1983</v>
      </c>
      <c r="Q19" s="1234" t="s">
        <v>1984</v>
      </c>
      <c r="R19" s="1234">
        <v>24</v>
      </c>
      <c r="S19" s="1234">
        <v>3</v>
      </c>
      <c r="T19" s="1234">
        <v>22</v>
      </c>
      <c r="U19" s="1234">
        <v>8.5</v>
      </c>
      <c r="V19" s="1234"/>
      <c r="W19" s="1234" t="s">
        <v>1929</v>
      </c>
      <c r="X19" s="1234" t="s">
        <v>7</v>
      </c>
      <c r="Y19" s="1234" t="s">
        <v>1985</v>
      </c>
      <c r="Z19" s="1234" t="s">
        <v>1986</v>
      </c>
      <c r="AA19" s="1163">
        <v>0.7</v>
      </c>
      <c r="AB19" s="1234" t="s">
        <v>906</v>
      </c>
      <c r="AC19" s="1281" t="s">
        <v>1972</v>
      </c>
      <c r="AD19" s="1234" t="s">
        <v>1987</v>
      </c>
      <c r="AE19" s="1282" t="s">
        <v>1929</v>
      </c>
      <c r="AF19" s="1282">
        <v>1.8</v>
      </c>
      <c r="AG19" s="1344">
        <v>4725</v>
      </c>
      <c r="AH19" s="1345"/>
      <c r="AI19" s="1345"/>
      <c r="AJ19" s="1346"/>
      <c r="AK19" s="1344">
        <v>220</v>
      </c>
      <c r="AL19" s="1344"/>
      <c r="AM19" s="1282">
        <v>3.48</v>
      </c>
      <c r="AN19" s="1347" t="s">
        <v>1988</v>
      </c>
      <c r="AO19" s="1403" t="s">
        <v>1989</v>
      </c>
    </row>
    <row r="20" s="985" customFormat="1" ht="35.25" customHeight="1" spans="1:41">
      <c r="A20" s="1020"/>
      <c r="B20" s="1032"/>
      <c r="C20" s="1039">
        <v>-0.03</v>
      </c>
      <c r="D20" s="1059" t="s">
        <v>1990</v>
      </c>
      <c r="E20" s="1060" t="s">
        <v>1991</v>
      </c>
      <c r="F20" s="1061">
        <v>15.6</v>
      </c>
      <c r="G20" s="1061" t="s">
        <v>1992</v>
      </c>
      <c r="H20" s="1061" t="s">
        <v>1922</v>
      </c>
      <c r="I20" s="1061" t="s">
        <v>1899</v>
      </c>
      <c r="J20" s="1061" t="s">
        <v>12</v>
      </c>
      <c r="K20" s="1164">
        <v>0.056</v>
      </c>
      <c r="L20" s="1165">
        <v>344.218</v>
      </c>
      <c r="M20" s="1165">
        <v>193.622</v>
      </c>
      <c r="N20" s="1165" t="s">
        <v>1993</v>
      </c>
      <c r="O20" s="1165" t="s">
        <v>1901</v>
      </c>
      <c r="P20" s="1165"/>
      <c r="Q20" s="1235" t="s">
        <v>1993</v>
      </c>
      <c r="R20" s="1235">
        <v>72</v>
      </c>
      <c r="S20" s="1235">
        <v>5.8</v>
      </c>
      <c r="T20" s="1235">
        <v>18.8</v>
      </c>
      <c r="U20" s="1235">
        <v>14</v>
      </c>
      <c r="V20" s="1236"/>
      <c r="W20" s="1235" t="s">
        <v>1929</v>
      </c>
      <c r="X20" s="1235" t="s">
        <v>1915</v>
      </c>
      <c r="Y20" s="1235" t="s">
        <v>1916</v>
      </c>
      <c r="Z20" s="1235" t="s">
        <v>1905</v>
      </c>
      <c r="AA20" s="1165">
        <v>0.55</v>
      </c>
      <c r="AB20" s="1235" t="s">
        <v>1906</v>
      </c>
      <c r="AC20" s="1283" t="s">
        <v>1972</v>
      </c>
      <c r="AD20" s="1235" t="s">
        <v>1908</v>
      </c>
      <c r="AE20" s="1284" t="s">
        <v>1994</v>
      </c>
      <c r="AF20" s="1284">
        <v>8.2</v>
      </c>
      <c r="AG20" s="1348">
        <v>11700</v>
      </c>
      <c r="AH20" s="1349"/>
      <c r="AI20" s="1349"/>
      <c r="AJ20" s="1350"/>
      <c r="AK20" s="1348">
        <v>600</v>
      </c>
      <c r="AL20" s="1348"/>
      <c r="AM20" s="1284">
        <v>2.4</v>
      </c>
      <c r="AN20" s="1351" t="s">
        <v>1988</v>
      </c>
      <c r="AO20" s="1399"/>
    </row>
    <row r="21" s="990" customFormat="1" ht="35.25" customHeight="1" spans="1:41">
      <c r="A21" s="1020"/>
      <c r="B21" s="1062"/>
      <c r="C21" s="1063">
        <v>0.03</v>
      </c>
      <c r="D21" s="1064" t="s">
        <v>1995</v>
      </c>
      <c r="E21" s="1060" t="s">
        <v>766</v>
      </c>
      <c r="F21" s="1061">
        <v>14</v>
      </c>
      <c r="G21" s="1061" t="s">
        <v>1996</v>
      </c>
      <c r="H21" s="1061" t="s">
        <v>1898</v>
      </c>
      <c r="I21" s="1061" t="s">
        <v>1899</v>
      </c>
      <c r="J21" s="1061" t="s">
        <v>12</v>
      </c>
      <c r="K21" s="1164">
        <v>0.0495</v>
      </c>
      <c r="L21" s="1165" t="s">
        <v>1997</v>
      </c>
      <c r="M21" s="1165" t="s">
        <v>1998</v>
      </c>
      <c r="N21" s="1165" t="s">
        <v>1912</v>
      </c>
      <c r="O21" s="1165" t="s">
        <v>1901</v>
      </c>
      <c r="P21" s="1165"/>
      <c r="Q21" s="1235" t="s">
        <v>1999</v>
      </c>
      <c r="R21" s="1235">
        <v>80</v>
      </c>
      <c r="S21" s="1235">
        <v>2.9</v>
      </c>
      <c r="T21" s="1235">
        <v>20.8</v>
      </c>
      <c r="U21" s="1235">
        <v>8.25</v>
      </c>
      <c r="V21" s="1234"/>
      <c r="W21" s="1235" t="s">
        <v>12</v>
      </c>
      <c r="X21" s="1235" t="s">
        <v>1915</v>
      </c>
      <c r="Y21" s="1235" t="s">
        <v>1961</v>
      </c>
      <c r="Z21" s="1235" t="s">
        <v>1962</v>
      </c>
      <c r="AA21" s="1235">
        <v>0.5</v>
      </c>
      <c r="AB21" s="1235" t="s">
        <v>1906</v>
      </c>
      <c r="AC21" s="1283" t="s">
        <v>1972</v>
      </c>
      <c r="AD21" s="1235" t="s">
        <v>2000</v>
      </c>
      <c r="AE21" s="1284" t="s">
        <v>1994</v>
      </c>
      <c r="AF21" s="1284">
        <v>5.55</v>
      </c>
      <c r="AG21" s="1348">
        <v>9963</v>
      </c>
      <c r="AH21" s="1349"/>
      <c r="AI21" s="1349"/>
      <c r="AJ21" s="1350"/>
      <c r="AK21" s="1348"/>
      <c r="AL21" s="1348"/>
      <c r="AM21" s="1284">
        <v>2.3</v>
      </c>
      <c r="AN21" s="1352" t="s">
        <v>2001</v>
      </c>
      <c r="AO21" s="1404"/>
    </row>
    <row r="22" s="991" customFormat="1" ht="35.25" customHeight="1" spans="1:41">
      <c r="A22" s="1020"/>
      <c r="B22" s="1065"/>
      <c r="C22" s="1039">
        <v>-0.06</v>
      </c>
      <c r="D22" s="1066" t="s">
        <v>2002</v>
      </c>
      <c r="E22" s="1067" t="s">
        <v>2003</v>
      </c>
      <c r="F22" s="1068">
        <v>15.6</v>
      </c>
      <c r="G22" s="1068" t="s">
        <v>2004</v>
      </c>
      <c r="H22" s="1068" t="s">
        <v>1898</v>
      </c>
      <c r="I22" s="1068" t="s">
        <v>1923</v>
      </c>
      <c r="J22" s="1068" t="s">
        <v>12</v>
      </c>
      <c r="K22" s="1166">
        <v>0.0965</v>
      </c>
      <c r="L22" s="1167" t="s">
        <v>2005</v>
      </c>
      <c r="M22" s="1167" t="s">
        <v>2006</v>
      </c>
      <c r="N22" s="1167" t="s">
        <v>1912</v>
      </c>
      <c r="O22" s="1167" t="s">
        <v>1901</v>
      </c>
      <c r="P22" s="1167"/>
      <c r="Q22" s="1232" t="s">
        <v>1999</v>
      </c>
      <c r="R22" s="1232">
        <v>66</v>
      </c>
      <c r="S22" s="1232">
        <v>2.9</v>
      </c>
      <c r="T22" s="1232">
        <v>12.7</v>
      </c>
      <c r="U22" s="1232">
        <v>8.25</v>
      </c>
      <c r="V22" s="1237"/>
      <c r="W22" s="1232" t="s">
        <v>12</v>
      </c>
      <c r="X22" s="1232" t="s">
        <v>1915</v>
      </c>
      <c r="Y22" s="1232" t="s">
        <v>1953</v>
      </c>
      <c r="Z22" s="1232" t="s">
        <v>1962</v>
      </c>
      <c r="AA22" s="1232">
        <v>0.6</v>
      </c>
      <c r="AB22" s="1232" t="s">
        <v>1906</v>
      </c>
      <c r="AC22" s="1285" t="s">
        <v>1972</v>
      </c>
      <c r="AD22" s="1232" t="s">
        <v>2007</v>
      </c>
      <c r="AE22" s="1286" t="s">
        <v>1994</v>
      </c>
      <c r="AF22" s="1286"/>
      <c r="AG22" s="1353">
        <v>4742</v>
      </c>
      <c r="AH22" s="1354">
        <v>0.923</v>
      </c>
      <c r="AI22" s="1354">
        <v>0.815</v>
      </c>
      <c r="AJ22" s="1355"/>
      <c r="AK22" s="1353">
        <v>349</v>
      </c>
      <c r="AL22" s="1353"/>
      <c r="AM22" s="1286">
        <v>2.6</v>
      </c>
      <c r="AN22" s="1356" t="s">
        <v>2001</v>
      </c>
      <c r="AO22" s="1405"/>
    </row>
    <row r="23" s="992" customFormat="1" ht="35.25" customHeight="1" spans="1:41">
      <c r="A23" s="1020"/>
      <c r="B23" s="1069"/>
      <c r="C23" s="1033">
        <v>-0.05</v>
      </c>
      <c r="D23" s="1070" t="s">
        <v>1895</v>
      </c>
      <c r="E23" s="1071" t="s">
        <v>2008</v>
      </c>
      <c r="F23" s="1072">
        <v>14</v>
      </c>
      <c r="G23" s="1073"/>
      <c r="H23" s="1074"/>
      <c r="I23" s="1074"/>
      <c r="J23" s="1168"/>
      <c r="K23" s="1169">
        <v>0.0634</v>
      </c>
      <c r="L23" s="1170">
        <v>309.31</v>
      </c>
      <c r="M23" s="1170">
        <v>173.99</v>
      </c>
      <c r="N23" s="1171" t="s">
        <v>1912</v>
      </c>
      <c r="O23" s="1172" t="s">
        <v>1901</v>
      </c>
      <c r="P23" s="1173"/>
      <c r="Q23" s="1238" t="s">
        <v>2009</v>
      </c>
      <c r="R23" s="1171">
        <v>66</v>
      </c>
      <c r="S23" s="1171">
        <v>2.9</v>
      </c>
      <c r="T23" s="1171">
        <v>22.6</v>
      </c>
      <c r="U23" s="1239">
        <v>8</v>
      </c>
      <c r="V23" s="1239"/>
      <c r="W23" s="1240" t="s">
        <v>12</v>
      </c>
      <c r="X23" s="1173" t="s">
        <v>1915</v>
      </c>
      <c r="Y23" s="1173" t="s">
        <v>2010</v>
      </c>
      <c r="Z23" s="1171" t="s">
        <v>1905</v>
      </c>
      <c r="AA23" s="1171">
        <v>0.5</v>
      </c>
      <c r="AB23" s="1287" t="s">
        <v>1906</v>
      </c>
      <c r="AC23" s="1263" t="s">
        <v>1907</v>
      </c>
      <c r="AD23" s="1288" t="s">
        <v>2000</v>
      </c>
      <c r="AE23" s="1289" t="s">
        <v>1909</v>
      </c>
      <c r="AF23" s="1290">
        <v>4.8</v>
      </c>
      <c r="AG23" s="1357">
        <v>8930</v>
      </c>
      <c r="AH23" s="1320">
        <v>0.92</v>
      </c>
      <c r="AI23" s="1320">
        <v>0.81</v>
      </c>
      <c r="AJ23" s="1321"/>
      <c r="AK23" s="1358">
        <v>569.5</v>
      </c>
      <c r="AL23" s="1358"/>
      <c r="AM23" s="1359">
        <v>2</v>
      </c>
      <c r="AN23" s="1360" t="s">
        <v>2001</v>
      </c>
      <c r="AO23" s="1406"/>
    </row>
    <row r="24" s="993" customFormat="1" ht="57.6" spans="1:41">
      <c r="A24" s="1020"/>
      <c r="B24" s="1075"/>
      <c r="C24" s="1076">
        <v>0.04</v>
      </c>
      <c r="D24" s="1077" t="s">
        <v>2011</v>
      </c>
      <c r="E24" s="1057" t="s">
        <v>2012</v>
      </c>
      <c r="F24" s="1058">
        <v>11.6</v>
      </c>
      <c r="G24" s="1058" t="s">
        <v>1979</v>
      </c>
      <c r="H24" s="1058" t="s">
        <v>1922</v>
      </c>
      <c r="I24" s="1058" t="s">
        <v>1980</v>
      </c>
      <c r="J24" s="1058" t="s">
        <v>9</v>
      </c>
      <c r="K24" s="1162">
        <v>0.052</v>
      </c>
      <c r="L24" s="1163">
        <v>256.125</v>
      </c>
      <c r="M24" s="1163">
        <v>144</v>
      </c>
      <c r="N24" s="1163" t="s">
        <v>1926</v>
      </c>
      <c r="O24" s="1163" t="s">
        <v>1982</v>
      </c>
      <c r="P24" s="1163"/>
      <c r="Q24" s="1234" t="s">
        <v>1984</v>
      </c>
      <c r="R24" s="1234">
        <v>24</v>
      </c>
      <c r="S24" s="1234">
        <v>3</v>
      </c>
      <c r="T24" s="1234">
        <v>22</v>
      </c>
      <c r="U24" s="1234">
        <v>8.5</v>
      </c>
      <c r="V24" s="1236"/>
      <c r="W24" s="1234" t="s">
        <v>9</v>
      </c>
      <c r="X24" s="1234" t="s">
        <v>7</v>
      </c>
      <c r="Y24" s="1234" t="s">
        <v>2013</v>
      </c>
      <c r="Z24" s="1234" t="s">
        <v>1986</v>
      </c>
      <c r="AA24" s="1234">
        <v>0.7</v>
      </c>
      <c r="AB24" s="1234" t="s">
        <v>906</v>
      </c>
      <c r="AC24" s="1281" t="s">
        <v>1972</v>
      </c>
      <c r="AD24" s="1234" t="s">
        <v>1987</v>
      </c>
      <c r="AE24" s="1282" t="s">
        <v>2014</v>
      </c>
      <c r="AF24" s="1282">
        <v>1.8</v>
      </c>
      <c r="AG24" s="1344">
        <v>4721</v>
      </c>
      <c r="AH24" s="1345">
        <v>0.92</v>
      </c>
      <c r="AI24" s="1345">
        <v>0.77</v>
      </c>
      <c r="AJ24" s="1346"/>
      <c r="AK24" s="1344">
        <v>219</v>
      </c>
      <c r="AL24" s="1344"/>
      <c r="AM24" s="1282">
        <v>4</v>
      </c>
      <c r="AN24" s="1361" t="s">
        <v>2015</v>
      </c>
      <c r="AO24" s="1407" t="s">
        <v>2016</v>
      </c>
    </row>
    <row r="25" s="993" customFormat="1" ht="34.5" customHeight="1" spans="1:41">
      <c r="A25" s="1020"/>
      <c r="B25" s="1075"/>
      <c r="C25" s="1076">
        <v>0.03</v>
      </c>
      <c r="D25" s="1078" t="s">
        <v>2017</v>
      </c>
      <c r="E25" s="1079" t="s">
        <v>2018</v>
      </c>
      <c r="F25" s="1080">
        <v>12.5</v>
      </c>
      <c r="G25" s="1080" t="s">
        <v>1979</v>
      </c>
      <c r="H25" s="1080" t="s">
        <v>1922</v>
      </c>
      <c r="I25" s="1080" t="s">
        <v>1923</v>
      </c>
      <c r="J25" s="1080" t="s">
        <v>12</v>
      </c>
      <c r="K25" s="1174">
        <v>0.08</v>
      </c>
      <c r="L25" s="1175">
        <v>276.48</v>
      </c>
      <c r="M25" s="1175">
        <v>155.52</v>
      </c>
      <c r="N25" s="1175" t="s">
        <v>1926</v>
      </c>
      <c r="O25" s="1175" t="s">
        <v>2019</v>
      </c>
      <c r="P25" s="1175"/>
      <c r="Q25" s="1241" t="s">
        <v>2020</v>
      </c>
      <c r="R25" s="1241">
        <v>27</v>
      </c>
      <c r="S25" s="1241">
        <v>2.9</v>
      </c>
      <c r="T25" s="1241">
        <v>21</v>
      </c>
      <c r="U25" s="1241">
        <v>8.19</v>
      </c>
      <c r="V25" s="1242"/>
      <c r="W25" s="1241" t="s">
        <v>12</v>
      </c>
      <c r="X25" s="1241" t="s">
        <v>1915</v>
      </c>
      <c r="Y25" s="1241" t="s">
        <v>2021</v>
      </c>
      <c r="Z25" s="1241" t="s">
        <v>2022</v>
      </c>
      <c r="AA25" s="1241">
        <v>0.5</v>
      </c>
      <c r="AB25" s="1241" t="s">
        <v>906</v>
      </c>
      <c r="AC25" s="1291" t="s">
        <v>1972</v>
      </c>
      <c r="AD25" s="1241" t="s">
        <v>1917</v>
      </c>
      <c r="AE25" s="1292" t="s">
        <v>2014</v>
      </c>
      <c r="AF25" s="1292">
        <v>1.93</v>
      </c>
      <c r="AG25" s="1362">
        <v>3704</v>
      </c>
      <c r="AH25" s="1363">
        <v>0.94</v>
      </c>
      <c r="AI25" s="1363">
        <v>0.86</v>
      </c>
      <c r="AJ25" s="1364"/>
      <c r="AK25" s="1362">
        <v>289</v>
      </c>
      <c r="AL25" s="1362"/>
      <c r="AM25" s="1292">
        <v>2.3</v>
      </c>
      <c r="AN25" s="1361" t="s">
        <v>2015</v>
      </c>
      <c r="AO25" s="1408"/>
    </row>
    <row r="26" s="994" customFormat="1" ht="35.25" customHeight="1" spans="1:41">
      <c r="A26" s="1020"/>
      <c r="B26" s="1081"/>
      <c r="C26" s="1082">
        <v>0.04</v>
      </c>
      <c r="D26" s="1083" t="s">
        <v>1995</v>
      </c>
      <c r="E26" s="1084" t="s">
        <v>2023</v>
      </c>
      <c r="F26" s="1085">
        <v>11.6</v>
      </c>
      <c r="G26" s="1086" t="s">
        <v>1979</v>
      </c>
      <c r="H26" s="1086" t="s">
        <v>1922</v>
      </c>
      <c r="I26" s="1085" t="s">
        <v>1980</v>
      </c>
      <c r="J26" s="1176" t="s">
        <v>1929</v>
      </c>
      <c r="K26" s="1177">
        <v>0.051</v>
      </c>
      <c r="L26" s="1178" t="s">
        <v>1981</v>
      </c>
      <c r="M26" s="1178">
        <v>144</v>
      </c>
      <c r="N26" s="1179" t="s">
        <v>1926</v>
      </c>
      <c r="O26" s="1176" t="s">
        <v>1982</v>
      </c>
      <c r="P26" s="1180" t="s">
        <v>1983</v>
      </c>
      <c r="Q26" s="1180" t="s">
        <v>1984</v>
      </c>
      <c r="R26" s="1085">
        <v>24</v>
      </c>
      <c r="S26" s="1243">
        <v>3</v>
      </c>
      <c r="T26" s="1085">
        <v>22</v>
      </c>
      <c r="U26" s="1243">
        <v>8.75</v>
      </c>
      <c r="V26" s="1085"/>
      <c r="W26" s="1176" t="s">
        <v>1929</v>
      </c>
      <c r="X26" s="1244" t="s">
        <v>7</v>
      </c>
      <c r="Y26" s="1293" t="s">
        <v>1985</v>
      </c>
      <c r="Z26" s="1294" t="s">
        <v>1986</v>
      </c>
      <c r="AA26" s="1180">
        <v>0.7</v>
      </c>
      <c r="AB26" s="1180" t="s">
        <v>906</v>
      </c>
      <c r="AC26" s="1180" t="s">
        <v>1972</v>
      </c>
      <c r="AD26" s="1180" t="s">
        <v>1987</v>
      </c>
      <c r="AE26" s="1295" t="s">
        <v>1930</v>
      </c>
      <c r="AF26" s="1085">
        <v>1.8</v>
      </c>
      <c r="AG26" s="1085">
        <v>4864</v>
      </c>
      <c r="AH26" s="1365">
        <v>0.945</v>
      </c>
      <c r="AI26" s="1365">
        <v>0.873</v>
      </c>
      <c r="AJ26" s="1366"/>
      <c r="AK26" s="1367">
        <f>AG26*K26</f>
        <v>248.064</v>
      </c>
      <c r="AL26" s="1085"/>
      <c r="AM26" s="1176">
        <v>3</v>
      </c>
      <c r="AN26" s="1368" t="s">
        <v>2024</v>
      </c>
      <c r="AO26" s="1409"/>
    </row>
    <row r="27" s="995" customFormat="1" ht="35.25" customHeight="1" spans="1:41">
      <c r="A27" s="1020"/>
      <c r="B27" s="1087"/>
      <c r="C27" s="1082">
        <v>-0.07</v>
      </c>
      <c r="D27" s="1088" t="s">
        <v>1946</v>
      </c>
      <c r="E27" s="1089" t="s">
        <v>2025</v>
      </c>
      <c r="F27" s="1090">
        <v>15.6</v>
      </c>
      <c r="G27" s="1091" t="s">
        <v>1933</v>
      </c>
      <c r="H27" s="1091" t="s">
        <v>1922</v>
      </c>
      <c r="I27" s="1090" t="s">
        <v>1923</v>
      </c>
      <c r="J27" s="1181" t="s">
        <v>12</v>
      </c>
      <c r="K27" s="1182">
        <v>0.052</v>
      </c>
      <c r="L27" s="1183" t="s">
        <v>2005</v>
      </c>
      <c r="M27" s="1183" t="s">
        <v>2006</v>
      </c>
      <c r="N27" s="1184" t="s">
        <v>1926</v>
      </c>
      <c r="O27" s="1185" t="s">
        <v>756</v>
      </c>
      <c r="P27" s="1186"/>
      <c r="Q27" s="1186" t="s">
        <v>2026</v>
      </c>
      <c r="R27" s="1090">
        <v>48</v>
      </c>
      <c r="S27" s="1245">
        <v>2.9</v>
      </c>
      <c r="T27" s="1090">
        <v>23.7</v>
      </c>
      <c r="U27" s="1245">
        <v>9</v>
      </c>
      <c r="V27" s="1107"/>
      <c r="W27" s="1181" t="s">
        <v>12</v>
      </c>
      <c r="X27" s="1246" t="s">
        <v>1952</v>
      </c>
      <c r="Y27" s="1296" t="s">
        <v>1940</v>
      </c>
      <c r="Z27" s="1297" t="s">
        <v>1954</v>
      </c>
      <c r="AA27" s="1186">
        <v>0.7</v>
      </c>
      <c r="AB27" s="1186" t="s">
        <v>2027</v>
      </c>
      <c r="AC27" s="1186" t="s">
        <v>1972</v>
      </c>
      <c r="AD27" s="1186" t="s">
        <v>1908</v>
      </c>
      <c r="AE27" s="1298" t="s">
        <v>1930</v>
      </c>
      <c r="AF27" s="1090">
        <v>3.8</v>
      </c>
      <c r="AG27" s="1090">
        <v>5882.9</v>
      </c>
      <c r="AH27" s="1369">
        <v>0.9197</v>
      </c>
      <c r="AI27" s="1369">
        <v>0.7961</v>
      </c>
      <c r="AJ27" s="1370"/>
      <c r="AK27" s="1090">
        <v>332.3</v>
      </c>
      <c r="AL27" s="1090"/>
      <c r="AM27" s="1371">
        <v>3.2</v>
      </c>
      <c r="AN27" s="1372" t="s">
        <v>2024</v>
      </c>
      <c r="AO27" s="1410"/>
    </row>
    <row r="28" s="996" customFormat="1" ht="35.25" customHeight="1" spans="1:41">
      <c r="A28" s="1020"/>
      <c r="B28" s="1092"/>
      <c r="C28" s="1082">
        <v>-0.11</v>
      </c>
      <c r="D28" s="1093" t="s">
        <v>1995</v>
      </c>
      <c r="E28" s="1094" t="s">
        <v>2028</v>
      </c>
      <c r="F28" s="1095">
        <v>15.6</v>
      </c>
      <c r="G28" s="1096" t="s">
        <v>1933</v>
      </c>
      <c r="H28" s="1096" t="s">
        <v>1922</v>
      </c>
      <c r="I28" s="1095" t="s">
        <v>1899</v>
      </c>
      <c r="J28" s="1187" t="s">
        <v>12</v>
      </c>
      <c r="K28" s="1188">
        <v>0.049</v>
      </c>
      <c r="L28" s="1189" t="s">
        <v>2029</v>
      </c>
      <c r="M28" s="1189" t="s">
        <v>2030</v>
      </c>
      <c r="N28" s="1190" t="s">
        <v>1926</v>
      </c>
      <c r="O28" s="1191" t="s">
        <v>756</v>
      </c>
      <c r="P28" s="1192"/>
      <c r="Q28" s="1192" t="s">
        <v>2026</v>
      </c>
      <c r="R28" s="1095">
        <v>63</v>
      </c>
      <c r="S28" s="1247">
        <v>2.9</v>
      </c>
      <c r="T28" s="1095">
        <v>20.2</v>
      </c>
      <c r="U28" s="1247">
        <v>9</v>
      </c>
      <c r="V28" s="1095"/>
      <c r="W28" s="1187" t="s">
        <v>12</v>
      </c>
      <c r="X28" s="1248" t="s">
        <v>2031</v>
      </c>
      <c r="Y28" s="1299" t="s">
        <v>2021</v>
      </c>
      <c r="Z28" s="1300" t="s">
        <v>1905</v>
      </c>
      <c r="AA28" s="1192">
        <v>0.55</v>
      </c>
      <c r="AB28" s="1192" t="s">
        <v>1906</v>
      </c>
      <c r="AC28" s="1192" t="s">
        <v>1972</v>
      </c>
      <c r="AD28" s="1192" t="s">
        <v>1908</v>
      </c>
      <c r="AE28" s="1301" t="s">
        <v>1930</v>
      </c>
      <c r="AF28" s="1095">
        <v>4.5</v>
      </c>
      <c r="AG28" s="1095">
        <v>7365.75</v>
      </c>
      <c r="AH28" s="1373">
        <v>0.947</v>
      </c>
      <c r="AI28" s="1373">
        <v>0.853</v>
      </c>
      <c r="AJ28" s="1374"/>
      <c r="AK28" s="1095">
        <v>360</v>
      </c>
      <c r="AL28" s="1095"/>
      <c r="AM28" s="1375">
        <v>2.6</v>
      </c>
      <c r="AN28" s="1376" t="s">
        <v>2024</v>
      </c>
      <c r="AO28" s="1411"/>
    </row>
    <row r="29" s="996" customFormat="1" ht="35.25" customHeight="1" spans="1:41">
      <c r="A29" s="1020"/>
      <c r="B29" s="1092"/>
      <c r="C29" s="1082">
        <v>-0.08</v>
      </c>
      <c r="D29" s="1097" t="s">
        <v>1946</v>
      </c>
      <c r="E29" s="1094" t="s">
        <v>2032</v>
      </c>
      <c r="F29" s="1095">
        <v>17.3</v>
      </c>
      <c r="G29" s="1096" t="s">
        <v>1933</v>
      </c>
      <c r="H29" s="1096" t="s">
        <v>1922</v>
      </c>
      <c r="I29" s="1095" t="s">
        <v>1923</v>
      </c>
      <c r="J29" s="1187" t="s">
        <v>12</v>
      </c>
      <c r="K29" s="1188">
        <v>0.06</v>
      </c>
      <c r="L29" s="1189" t="s">
        <v>2033</v>
      </c>
      <c r="M29" s="1189" t="s">
        <v>2034</v>
      </c>
      <c r="N29" s="1190" t="s">
        <v>1926</v>
      </c>
      <c r="O29" s="1191" t="s">
        <v>1913</v>
      </c>
      <c r="P29" s="1192"/>
      <c r="Q29" s="1192" t="s">
        <v>2035</v>
      </c>
      <c r="R29" s="1095">
        <v>60</v>
      </c>
      <c r="S29" s="1247">
        <v>3</v>
      </c>
      <c r="T29" s="1095">
        <v>22.5</v>
      </c>
      <c r="U29" s="1247">
        <v>8.25</v>
      </c>
      <c r="V29" s="1095"/>
      <c r="W29" s="1187" t="s">
        <v>12</v>
      </c>
      <c r="X29" s="1248" t="s">
        <v>1903</v>
      </c>
      <c r="Y29" s="1299" t="s">
        <v>2036</v>
      </c>
      <c r="Z29" s="1300" t="s">
        <v>2037</v>
      </c>
      <c r="AA29" s="1192">
        <v>0.8</v>
      </c>
      <c r="AB29" s="1192" t="s">
        <v>1906</v>
      </c>
      <c r="AC29" s="1192" t="s">
        <v>1972</v>
      </c>
      <c r="AD29" s="1192" t="s">
        <v>1908</v>
      </c>
      <c r="AE29" s="1301" t="s">
        <v>1930</v>
      </c>
      <c r="AF29" s="1095">
        <v>5.7</v>
      </c>
      <c r="AG29" s="1095">
        <v>5336.75</v>
      </c>
      <c r="AH29" s="1373">
        <v>0.9125</v>
      </c>
      <c r="AI29" s="1373">
        <v>0.7922</v>
      </c>
      <c r="AJ29" s="1374"/>
      <c r="AK29" s="1095">
        <v>321</v>
      </c>
      <c r="AL29" s="1095"/>
      <c r="AM29" s="1375">
        <v>3.5</v>
      </c>
      <c r="AN29" s="1377" t="s">
        <v>2024</v>
      </c>
      <c r="AO29" s="1411"/>
    </row>
    <row r="30" s="996" customFormat="1" ht="35.25" customHeight="1" spans="1:41">
      <c r="A30" s="1020"/>
      <c r="B30" s="1092"/>
      <c r="C30" s="1082">
        <v>-0.08</v>
      </c>
      <c r="D30" s="1093" t="s">
        <v>1946</v>
      </c>
      <c r="E30" s="1094" t="s">
        <v>2038</v>
      </c>
      <c r="F30" s="1095">
        <v>13.3</v>
      </c>
      <c r="G30" s="1096" t="s">
        <v>2004</v>
      </c>
      <c r="H30" s="1096" t="s">
        <v>1922</v>
      </c>
      <c r="I30" s="1095" t="s">
        <v>1923</v>
      </c>
      <c r="J30" s="1187" t="s">
        <v>12</v>
      </c>
      <c r="K30" s="1188">
        <v>0.09</v>
      </c>
      <c r="L30" s="1189" t="s">
        <v>2039</v>
      </c>
      <c r="M30" s="1189" t="s">
        <v>2040</v>
      </c>
      <c r="N30" s="1190" t="s">
        <v>1912</v>
      </c>
      <c r="O30" s="1191" t="s">
        <v>1913</v>
      </c>
      <c r="P30" s="1192"/>
      <c r="Q30" s="1192" t="s">
        <v>1936</v>
      </c>
      <c r="R30" s="1095">
        <v>44</v>
      </c>
      <c r="S30" s="1247">
        <v>2.85</v>
      </c>
      <c r="T30" s="1095">
        <v>10.7</v>
      </c>
      <c r="U30" s="1247">
        <v>8.25</v>
      </c>
      <c r="V30" s="1095"/>
      <c r="W30" s="1187" t="s">
        <v>12</v>
      </c>
      <c r="X30" s="1248" t="s">
        <v>1915</v>
      </c>
      <c r="Y30" s="1299" t="s">
        <v>2010</v>
      </c>
      <c r="Z30" s="1300" t="s">
        <v>1962</v>
      </c>
      <c r="AA30" s="1192">
        <v>0.5</v>
      </c>
      <c r="AB30" s="1192" t="s">
        <v>1906</v>
      </c>
      <c r="AC30" s="1192" t="s">
        <v>1972</v>
      </c>
      <c r="AD30" s="1192" t="s">
        <v>2007</v>
      </c>
      <c r="AE30" s="1192" t="s">
        <v>1994</v>
      </c>
      <c r="AF30" s="1095">
        <v>1.54</v>
      </c>
      <c r="AG30" s="1095">
        <v>3505.472</v>
      </c>
      <c r="AH30" s="1373">
        <v>0.9221</v>
      </c>
      <c r="AI30" s="1373">
        <v>0.8129</v>
      </c>
      <c r="AJ30" s="1374"/>
      <c r="AK30" s="1095">
        <v>310</v>
      </c>
      <c r="AL30" s="1095"/>
      <c r="AM30" s="1375">
        <v>2.1</v>
      </c>
      <c r="AN30" s="1376" t="s">
        <v>2024</v>
      </c>
      <c r="AO30" s="1411"/>
    </row>
    <row r="31" s="996" customFormat="1" ht="35.25" customHeight="1" spans="1:41">
      <c r="A31" s="1020"/>
      <c r="B31" s="1092"/>
      <c r="C31" s="1082">
        <v>-0.08</v>
      </c>
      <c r="D31" s="1093" t="s">
        <v>1946</v>
      </c>
      <c r="E31" s="1094" t="s">
        <v>2041</v>
      </c>
      <c r="F31" s="1095">
        <v>13.3</v>
      </c>
      <c r="G31" s="1096" t="s">
        <v>2004</v>
      </c>
      <c r="H31" s="1096" t="s">
        <v>1922</v>
      </c>
      <c r="I31" s="1095" t="s">
        <v>1899</v>
      </c>
      <c r="J31" s="1187" t="s">
        <v>12</v>
      </c>
      <c r="K31" s="1188">
        <v>0.0475</v>
      </c>
      <c r="L31" s="1189" t="s">
        <v>2039</v>
      </c>
      <c r="M31" s="1189" t="s">
        <v>2040</v>
      </c>
      <c r="N31" s="1190" t="s">
        <v>1912</v>
      </c>
      <c r="O31" s="1191" t="s">
        <v>1913</v>
      </c>
      <c r="P31" s="1192"/>
      <c r="Q31" s="1192" t="s">
        <v>1936</v>
      </c>
      <c r="R31" s="1095">
        <v>45</v>
      </c>
      <c r="S31" s="1247">
        <v>2.85</v>
      </c>
      <c r="T31" s="1095">
        <v>20</v>
      </c>
      <c r="U31" s="1247">
        <v>8.25</v>
      </c>
      <c r="V31" s="1095"/>
      <c r="W31" s="1187" t="s">
        <v>12</v>
      </c>
      <c r="X31" s="1248" t="s">
        <v>1915</v>
      </c>
      <c r="Y31" s="1299" t="s">
        <v>1953</v>
      </c>
      <c r="Z31" s="1300" t="s">
        <v>1962</v>
      </c>
      <c r="AA31" s="1192">
        <v>0.5</v>
      </c>
      <c r="AB31" s="1192" t="s">
        <v>1906</v>
      </c>
      <c r="AC31" s="1192" t="s">
        <v>1972</v>
      </c>
      <c r="AD31" s="1192" t="s">
        <v>2007</v>
      </c>
      <c r="AE31" s="1192" t="s">
        <v>1994</v>
      </c>
      <c r="AF31" s="1095">
        <v>2.95</v>
      </c>
      <c r="AG31" s="1095">
        <v>6727.6</v>
      </c>
      <c r="AH31" s="1373">
        <v>0.9175</v>
      </c>
      <c r="AI31" s="1373">
        <v>0.8142</v>
      </c>
      <c r="AJ31" s="1374"/>
      <c r="AK31" s="1095">
        <v>305.26</v>
      </c>
      <c r="AL31" s="1095"/>
      <c r="AM31" s="1375">
        <v>2.4</v>
      </c>
      <c r="AN31" s="1376" t="s">
        <v>2024</v>
      </c>
      <c r="AO31" s="1411"/>
    </row>
    <row r="32" s="985" customFormat="1" ht="35.25" customHeight="1" spans="1:41">
      <c r="A32" s="1020"/>
      <c r="B32" s="1038"/>
      <c r="C32" s="1039">
        <v>0</v>
      </c>
      <c r="D32" s="1098" t="s">
        <v>1995</v>
      </c>
      <c r="E32" s="1099" t="s">
        <v>2042</v>
      </c>
      <c r="F32" s="1100">
        <v>17.3</v>
      </c>
      <c r="G32" s="1101" t="s">
        <v>2043</v>
      </c>
      <c r="H32" s="1100" t="s">
        <v>1922</v>
      </c>
      <c r="I32" s="1100" t="s">
        <v>1899</v>
      </c>
      <c r="J32" s="1193" t="s">
        <v>12</v>
      </c>
      <c r="K32" s="1194">
        <v>0.062</v>
      </c>
      <c r="L32" s="1195">
        <v>381.89</v>
      </c>
      <c r="M32" s="1195">
        <v>214.81</v>
      </c>
      <c r="N32" s="1195" t="s">
        <v>2044</v>
      </c>
      <c r="O32" s="1196" t="s">
        <v>1901</v>
      </c>
      <c r="P32" s="1197"/>
      <c r="Q32" s="1197" t="s">
        <v>1993</v>
      </c>
      <c r="R32" s="1195">
        <v>66</v>
      </c>
      <c r="S32" s="1195">
        <v>5.75</v>
      </c>
      <c r="T32" s="1195">
        <v>24</v>
      </c>
      <c r="U32" s="1195">
        <v>13.5</v>
      </c>
      <c r="V32" s="1195"/>
      <c r="W32" s="1249" t="s">
        <v>12</v>
      </c>
      <c r="X32" s="1195" t="s">
        <v>1903</v>
      </c>
      <c r="Y32" s="1197" t="s">
        <v>2045</v>
      </c>
      <c r="Z32" s="1197" t="s">
        <v>2037</v>
      </c>
      <c r="AA32" s="1195">
        <v>0.8</v>
      </c>
      <c r="AB32" s="1302" t="s">
        <v>1906</v>
      </c>
      <c r="AC32" s="1303" t="s">
        <v>1972</v>
      </c>
      <c r="AD32" s="1197" t="s">
        <v>1908</v>
      </c>
      <c r="AE32" s="1195" t="s">
        <v>1994</v>
      </c>
      <c r="AF32" s="1304">
        <v>9.98</v>
      </c>
      <c r="AG32" s="1195">
        <v>9795</v>
      </c>
      <c r="AH32" s="1378">
        <v>0.905</v>
      </c>
      <c r="AI32" s="1378">
        <v>0.816</v>
      </c>
      <c r="AJ32" s="1379"/>
      <c r="AK32" s="1197"/>
      <c r="AL32" s="1197"/>
      <c r="AM32" s="1380">
        <v>3.5</v>
      </c>
      <c r="AN32" s="1329" t="s">
        <v>2001</v>
      </c>
      <c r="AO32" s="1399"/>
    </row>
    <row r="33" s="995" customFormat="1" ht="35.25" customHeight="1" spans="1:41">
      <c r="A33" s="1020"/>
      <c r="B33" s="1102"/>
      <c r="C33" s="1082">
        <v>-0.07</v>
      </c>
      <c r="D33" s="1103" t="s">
        <v>2046</v>
      </c>
      <c r="E33" s="1104" t="s">
        <v>2047</v>
      </c>
      <c r="F33" s="1090">
        <v>13</v>
      </c>
      <c r="G33" s="1091" t="s">
        <v>2048</v>
      </c>
      <c r="H33" s="1091" t="s">
        <v>1922</v>
      </c>
      <c r="I33" s="1090" t="s">
        <v>2049</v>
      </c>
      <c r="J33" s="1181" t="s">
        <v>12</v>
      </c>
      <c r="K33" s="1182">
        <v>0.0395</v>
      </c>
      <c r="L33" s="1183" t="s">
        <v>2050</v>
      </c>
      <c r="M33" s="1183" t="s">
        <v>2051</v>
      </c>
      <c r="N33" s="1184" t="s">
        <v>2052</v>
      </c>
      <c r="O33" s="1185" t="s">
        <v>2053</v>
      </c>
      <c r="P33" s="1186"/>
      <c r="Q33" s="1186" t="s">
        <v>2054</v>
      </c>
      <c r="R33" s="1090">
        <v>54</v>
      </c>
      <c r="S33" s="1245">
        <v>2.9</v>
      </c>
      <c r="T33" s="1090">
        <v>21</v>
      </c>
      <c r="U33" s="1245">
        <v>8.75</v>
      </c>
      <c r="V33" s="1090"/>
      <c r="W33" s="1181" t="s">
        <v>9</v>
      </c>
      <c r="X33" s="1246" t="s">
        <v>2055</v>
      </c>
      <c r="Y33" s="1296" t="s">
        <v>1961</v>
      </c>
      <c r="Z33" s="1297" t="s">
        <v>1905</v>
      </c>
      <c r="AA33" s="1186">
        <v>0.6</v>
      </c>
      <c r="AB33" s="1186" t="s">
        <v>1906</v>
      </c>
      <c r="AC33" s="1186" t="s">
        <v>1972</v>
      </c>
      <c r="AD33" s="1186" t="s">
        <v>1908</v>
      </c>
      <c r="AE33" s="1186" t="s">
        <v>1994</v>
      </c>
      <c r="AF33" s="1090">
        <v>3.31</v>
      </c>
      <c r="AG33" s="1090">
        <v>8463</v>
      </c>
      <c r="AH33" s="1369">
        <v>0.93</v>
      </c>
      <c r="AI33" s="1369">
        <v>0.81</v>
      </c>
      <c r="AJ33" s="1370"/>
      <c r="AK33" s="1090">
        <v>333.5</v>
      </c>
      <c r="AL33" s="1090"/>
      <c r="AM33" s="1371">
        <v>2.8</v>
      </c>
      <c r="AN33" s="1381" t="s">
        <v>2024</v>
      </c>
      <c r="AO33" s="1412" t="s">
        <v>2056</v>
      </c>
    </row>
    <row r="34" s="997" customFormat="1" ht="35.25" customHeight="1" spans="1:41">
      <c r="A34" s="1020"/>
      <c r="B34" s="1087"/>
      <c r="C34" s="1082"/>
      <c r="D34" s="1105" t="s">
        <v>2046</v>
      </c>
      <c r="E34" s="1106" t="s">
        <v>2057</v>
      </c>
      <c r="F34" s="1107">
        <v>14</v>
      </c>
      <c r="G34" s="1108" t="s">
        <v>2048</v>
      </c>
      <c r="H34" s="1108" t="s">
        <v>1922</v>
      </c>
      <c r="I34" s="1107" t="s">
        <v>2049</v>
      </c>
      <c r="J34" s="1198" t="s">
        <v>12</v>
      </c>
      <c r="K34" s="1199">
        <v>0.049</v>
      </c>
      <c r="L34" s="1200" t="s">
        <v>2058</v>
      </c>
      <c r="M34" s="1200" t="s">
        <v>2059</v>
      </c>
      <c r="N34" s="1201" t="s">
        <v>1959</v>
      </c>
      <c r="O34" s="1202" t="s">
        <v>2053</v>
      </c>
      <c r="P34" s="1203"/>
      <c r="Q34" s="1203" t="s">
        <v>2054</v>
      </c>
      <c r="R34" s="1107">
        <v>66</v>
      </c>
      <c r="S34" s="1250">
        <v>2.9</v>
      </c>
      <c r="T34" s="1107">
        <v>22.6</v>
      </c>
      <c r="U34" s="1250">
        <v>8.5</v>
      </c>
      <c r="V34" s="1107"/>
      <c r="W34" s="1198" t="s">
        <v>9</v>
      </c>
      <c r="X34" s="1251" t="s">
        <v>2055</v>
      </c>
      <c r="Y34" s="1305" t="s">
        <v>2060</v>
      </c>
      <c r="Z34" s="1306" t="s">
        <v>1905</v>
      </c>
      <c r="AA34" s="1203">
        <v>0.55</v>
      </c>
      <c r="AB34" s="1203" t="s">
        <v>1906</v>
      </c>
      <c r="AC34" s="1203" t="s">
        <v>1972</v>
      </c>
      <c r="AD34" s="1203" t="s">
        <v>1917</v>
      </c>
      <c r="AE34" s="1203" t="s">
        <v>1994</v>
      </c>
      <c r="AF34" s="1107">
        <v>4.4</v>
      </c>
      <c r="AG34" s="1107">
        <v>8961.4</v>
      </c>
      <c r="AH34" s="1382">
        <v>0.93</v>
      </c>
      <c r="AI34" s="1382">
        <v>0.77</v>
      </c>
      <c r="AJ34" s="1383"/>
      <c r="AK34" s="1107">
        <v>377.75</v>
      </c>
      <c r="AL34" s="1107"/>
      <c r="AM34" s="1384">
        <v>2.75</v>
      </c>
      <c r="AN34" s="1385" t="s">
        <v>2024</v>
      </c>
      <c r="AO34" s="1413" t="s">
        <v>2056</v>
      </c>
    </row>
    <row r="35" s="985" customFormat="1" ht="35.25" customHeight="1" spans="1:41">
      <c r="A35" s="1020"/>
      <c r="B35" s="1038"/>
      <c r="C35" s="1039">
        <v>0.02</v>
      </c>
      <c r="D35" s="1034" t="s">
        <v>1946</v>
      </c>
      <c r="E35" s="1099" t="s">
        <v>2061</v>
      </c>
      <c r="F35" s="1100">
        <v>15.6</v>
      </c>
      <c r="G35" s="1109"/>
      <c r="H35" s="1100" t="s">
        <v>2062</v>
      </c>
      <c r="I35" s="1100" t="s">
        <v>1923</v>
      </c>
      <c r="J35" s="1193"/>
      <c r="K35" s="1194">
        <v>0.065</v>
      </c>
      <c r="L35" s="1195">
        <v>344.16</v>
      </c>
      <c r="M35" s="1195">
        <v>193.59</v>
      </c>
      <c r="N35" s="1195"/>
      <c r="O35" s="1195"/>
      <c r="P35" s="1197"/>
      <c r="Q35" s="1197" t="s">
        <v>1999</v>
      </c>
      <c r="R35" s="1195">
        <v>54</v>
      </c>
      <c r="S35" s="1195">
        <v>2.9</v>
      </c>
      <c r="T35" s="1195">
        <v>21</v>
      </c>
      <c r="U35" s="1195">
        <v>8.25</v>
      </c>
      <c r="V35" s="1195"/>
      <c r="W35" s="1249" t="s">
        <v>9</v>
      </c>
      <c r="X35" s="1195" t="s">
        <v>1915</v>
      </c>
      <c r="Y35" s="1197" t="s">
        <v>1916</v>
      </c>
      <c r="Z35" s="1197" t="s">
        <v>1905</v>
      </c>
      <c r="AA35" s="1195">
        <v>0.55</v>
      </c>
      <c r="AB35" s="1302" t="s">
        <v>1906</v>
      </c>
      <c r="AC35" s="1303" t="s">
        <v>1972</v>
      </c>
      <c r="AD35" s="1197" t="s">
        <v>1908</v>
      </c>
      <c r="AE35" s="1186" t="s">
        <v>1994</v>
      </c>
      <c r="AF35" s="1304"/>
      <c r="AG35" s="1195">
        <v>5500</v>
      </c>
      <c r="AH35" s="1378"/>
      <c r="AI35" s="1378"/>
      <c r="AJ35" s="1379"/>
      <c r="AK35" s="1197"/>
      <c r="AL35" s="1197"/>
      <c r="AM35" s="1380"/>
      <c r="AN35" s="1329" t="s">
        <v>1956</v>
      </c>
      <c r="AO35" s="1399" t="s">
        <v>2063</v>
      </c>
    </row>
    <row r="36" s="988" customFormat="1" ht="35.25" customHeight="1" spans="1:41">
      <c r="A36" s="1020"/>
      <c r="B36" s="1032"/>
      <c r="C36" s="1063"/>
      <c r="D36" s="1110" t="s">
        <v>2064</v>
      </c>
      <c r="E36" s="1111" t="s">
        <v>2065</v>
      </c>
      <c r="F36" s="1112">
        <v>10.51</v>
      </c>
      <c r="G36" s="1113" t="s">
        <v>2004</v>
      </c>
      <c r="H36" s="1112" t="s">
        <v>1898</v>
      </c>
      <c r="I36" s="1112" t="s">
        <v>2066</v>
      </c>
      <c r="J36" s="1204" t="s">
        <v>9</v>
      </c>
      <c r="K36" s="1205">
        <v>0.0829</v>
      </c>
      <c r="L36" s="1206">
        <v>222.048</v>
      </c>
      <c r="M36" s="1206">
        <v>148.032</v>
      </c>
      <c r="N36" s="1206" t="s">
        <v>1912</v>
      </c>
      <c r="O36" s="1207" t="s">
        <v>1901</v>
      </c>
      <c r="P36" s="1208"/>
      <c r="Q36" s="1208" t="s">
        <v>1999</v>
      </c>
      <c r="R36" s="1206">
        <v>45</v>
      </c>
      <c r="S36" s="1206">
        <v>2.85</v>
      </c>
      <c r="T36" s="1206">
        <v>12.4</v>
      </c>
      <c r="U36" s="1206">
        <v>8.25</v>
      </c>
      <c r="V36" s="1206"/>
      <c r="W36" s="1252" t="s">
        <v>12</v>
      </c>
      <c r="X36" s="1206" t="s">
        <v>7</v>
      </c>
      <c r="Y36" s="1208" t="s">
        <v>2067</v>
      </c>
      <c r="Z36" s="1208" t="s">
        <v>2068</v>
      </c>
      <c r="AA36" s="1206">
        <v>0.55</v>
      </c>
      <c r="AB36" s="1307" t="s">
        <v>1906</v>
      </c>
      <c r="AC36" s="1308" t="s">
        <v>1972</v>
      </c>
      <c r="AD36" s="1208" t="s">
        <v>2007</v>
      </c>
      <c r="AE36" s="1207" t="s">
        <v>887</v>
      </c>
      <c r="AF36" s="1309">
        <v>1.54</v>
      </c>
      <c r="AG36" s="1386">
        <v>5526</v>
      </c>
      <c r="AH36" s="1387">
        <v>0.95</v>
      </c>
      <c r="AI36" s="1387">
        <v>0.82</v>
      </c>
      <c r="AJ36" s="1388">
        <v>5595</v>
      </c>
      <c r="AK36" s="1208" t="s">
        <v>2069</v>
      </c>
      <c r="AL36" s="1208">
        <v>463</v>
      </c>
      <c r="AM36" s="1389">
        <v>1.95</v>
      </c>
      <c r="AN36" s="1390"/>
      <c r="AO36" s="1402"/>
    </row>
    <row r="37" s="998" customFormat="1" ht="35.25" customHeight="1" spans="1:41">
      <c r="A37" s="1020"/>
      <c r="B37" s="1114"/>
      <c r="C37" s="1039"/>
      <c r="D37" s="1115" t="s">
        <v>2070</v>
      </c>
      <c r="E37" s="1111" t="s">
        <v>2071</v>
      </c>
      <c r="F37" s="1116">
        <v>13.3</v>
      </c>
      <c r="G37" s="1117" t="s">
        <v>2004</v>
      </c>
      <c r="H37" s="1116" t="s">
        <v>1898</v>
      </c>
      <c r="I37" s="1116" t="s">
        <v>2072</v>
      </c>
      <c r="J37" s="1209" t="s">
        <v>12</v>
      </c>
      <c r="K37" s="1210">
        <v>0.084</v>
      </c>
      <c r="L37" s="1211">
        <v>286.04</v>
      </c>
      <c r="M37" s="1211">
        <v>178.78</v>
      </c>
      <c r="N37" s="1211" t="s">
        <v>1912</v>
      </c>
      <c r="O37" s="1211" t="s">
        <v>1913</v>
      </c>
      <c r="P37" s="1212"/>
      <c r="Q37" s="1212" t="s">
        <v>2073</v>
      </c>
      <c r="R37" s="1211">
        <v>45</v>
      </c>
      <c r="S37" s="1211">
        <v>2.85</v>
      </c>
      <c r="T37" s="1211">
        <v>12.2</v>
      </c>
      <c r="U37" s="1211">
        <v>8</v>
      </c>
      <c r="V37" s="1211"/>
      <c r="W37" s="1253" t="s">
        <v>12</v>
      </c>
      <c r="X37" s="1211" t="s">
        <v>1915</v>
      </c>
      <c r="Y37" s="1212" t="s">
        <v>2074</v>
      </c>
      <c r="Z37" s="1212" t="s">
        <v>1962</v>
      </c>
      <c r="AA37" s="1211">
        <v>0.5</v>
      </c>
      <c r="AB37" s="1310" t="s">
        <v>1906</v>
      </c>
      <c r="AC37" s="1311" t="s">
        <v>1972</v>
      </c>
      <c r="AD37" s="1212" t="s">
        <v>2000</v>
      </c>
      <c r="AE37" s="1211" t="s">
        <v>2014</v>
      </c>
      <c r="AF37" s="1312">
        <v>1.69</v>
      </c>
      <c r="AG37" s="1211">
        <v>3714</v>
      </c>
      <c r="AH37" s="1391">
        <v>0.96</v>
      </c>
      <c r="AI37" s="1391">
        <v>0.838</v>
      </c>
      <c r="AJ37" s="1392"/>
      <c r="AK37" s="1212">
        <v>299</v>
      </c>
      <c r="AL37" s="1212"/>
      <c r="AM37" s="1393">
        <v>2.4</v>
      </c>
      <c r="AN37" s="1394" t="s">
        <v>1956</v>
      </c>
      <c r="AO37" s="1414" t="s">
        <v>2075</v>
      </c>
    </row>
    <row r="38" s="998" customFormat="1" ht="35.25" customHeight="1" spans="1:41">
      <c r="A38" s="1020"/>
      <c r="B38" s="1114"/>
      <c r="C38" s="1039"/>
      <c r="D38" s="1115" t="s">
        <v>2070</v>
      </c>
      <c r="E38" s="1111" t="s">
        <v>2076</v>
      </c>
      <c r="F38" s="1116">
        <v>13.3</v>
      </c>
      <c r="G38" s="1117" t="s">
        <v>2004</v>
      </c>
      <c r="H38" s="1116" t="s">
        <v>1898</v>
      </c>
      <c r="I38" s="1116" t="s">
        <v>2072</v>
      </c>
      <c r="J38" s="1209" t="s">
        <v>12</v>
      </c>
      <c r="K38" s="1210">
        <v>0.078</v>
      </c>
      <c r="L38" s="1211">
        <v>286.04</v>
      </c>
      <c r="M38" s="1211">
        <v>178.78</v>
      </c>
      <c r="N38" s="1211" t="s">
        <v>1912</v>
      </c>
      <c r="O38" s="1213" t="s">
        <v>1927</v>
      </c>
      <c r="P38" s="1212"/>
      <c r="Q38" s="1212" t="s">
        <v>2077</v>
      </c>
      <c r="R38" s="1211">
        <v>54</v>
      </c>
      <c r="S38" s="1211">
        <v>2.85</v>
      </c>
      <c r="T38" s="1211">
        <v>12.2</v>
      </c>
      <c r="U38" s="1211">
        <v>7.5</v>
      </c>
      <c r="V38" s="1211"/>
      <c r="W38" s="1253" t="s">
        <v>9</v>
      </c>
      <c r="X38" s="1211" t="s">
        <v>1915</v>
      </c>
      <c r="Y38" s="1212" t="s">
        <v>1961</v>
      </c>
      <c r="Z38" s="1212" t="s">
        <v>1962</v>
      </c>
      <c r="AA38" s="1211">
        <v>0.5</v>
      </c>
      <c r="AB38" s="1310" t="s">
        <v>1906</v>
      </c>
      <c r="AC38" s="1311" t="s">
        <v>1972</v>
      </c>
      <c r="AD38" s="1212" t="s">
        <v>1973</v>
      </c>
      <c r="AE38" s="1213" t="s">
        <v>2078</v>
      </c>
      <c r="AF38" s="1312">
        <v>2.02</v>
      </c>
      <c r="AG38" s="1211">
        <v>3914.7</v>
      </c>
      <c r="AH38" s="1391">
        <v>0.9454</v>
      </c>
      <c r="AI38" s="1391">
        <v>0.8302</v>
      </c>
      <c r="AJ38" s="1392"/>
      <c r="AK38" s="1212">
        <v>290.8</v>
      </c>
      <c r="AL38" s="1212"/>
      <c r="AM38" s="1393">
        <v>2.4</v>
      </c>
      <c r="AN38" s="1394" t="s">
        <v>1956</v>
      </c>
      <c r="AO38" s="1414" t="s">
        <v>2079</v>
      </c>
    </row>
    <row r="39" s="998" customFormat="1" ht="35.25" customHeight="1" spans="1:41">
      <c r="A39" s="1020"/>
      <c r="B39" s="1114"/>
      <c r="C39" s="1039"/>
      <c r="D39" s="1115" t="s">
        <v>1946</v>
      </c>
      <c r="E39" s="1111" t="s">
        <v>2080</v>
      </c>
      <c r="F39" s="1116">
        <v>13.3</v>
      </c>
      <c r="G39" s="1117" t="s">
        <v>2004</v>
      </c>
      <c r="H39" s="1116" t="s">
        <v>1898</v>
      </c>
      <c r="I39" s="1116" t="s">
        <v>2072</v>
      </c>
      <c r="J39" s="1209" t="s">
        <v>12</v>
      </c>
      <c r="K39" s="1210">
        <v>0.057</v>
      </c>
      <c r="L39" s="1211">
        <v>286.04</v>
      </c>
      <c r="M39" s="1211">
        <v>178.78</v>
      </c>
      <c r="N39" s="1211" t="s">
        <v>1912</v>
      </c>
      <c r="O39" s="1211" t="s">
        <v>1901</v>
      </c>
      <c r="P39" s="1212"/>
      <c r="Q39" s="1212" t="s">
        <v>2081</v>
      </c>
      <c r="R39" s="1211">
        <v>54</v>
      </c>
      <c r="S39" s="1211">
        <v>2.85</v>
      </c>
      <c r="T39" s="1211">
        <v>20</v>
      </c>
      <c r="U39" s="1211">
        <v>7.75</v>
      </c>
      <c r="V39" s="1211"/>
      <c r="W39" s="1253" t="s">
        <v>9</v>
      </c>
      <c r="X39" s="1211" t="s">
        <v>1915</v>
      </c>
      <c r="Y39" s="1212" t="s">
        <v>1961</v>
      </c>
      <c r="Z39" s="1212" t="s">
        <v>1962</v>
      </c>
      <c r="AA39" s="1211">
        <v>0.5</v>
      </c>
      <c r="AB39" s="1310" t="s">
        <v>1906</v>
      </c>
      <c r="AC39" s="1311" t="s">
        <v>1972</v>
      </c>
      <c r="AD39" s="1212" t="s">
        <v>1973</v>
      </c>
      <c r="AE39" s="1211" t="s">
        <v>2014</v>
      </c>
      <c r="AF39" s="1312">
        <v>3.35</v>
      </c>
      <c r="AG39" s="1211">
        <v>6487.9</v>
      </c>
      <c r="AH39" s="1391">
        <v>0.9263</v>
      </c>
      <c r="AI39" s="1391">
        <v>0.7794</v>
      </c>
      <c r="AJ39" s="1392"/>
      <c r="AK39" s="1212">
        <v>351.5</v>
      </c>
      <c r="AL39" s="1212"/>
      <c r="AM39" s="1393">
        <v>2.4</v>
      </c>
      <c r="AN39" s="1394" t="s">
        <v>1956</v>
      </c>
      <c r="AO39" s="1414" t="s">
        <v>2082</v>
      </c>
    </row>
    <row r="40" s="988" customFormat="1" ht="35.25" customHeight="1" spans="1:41">
      <c r="A40" s="1020"/>
      <c r="B40" s="1032"/>
      <c r="C40" s="1039"/>
      <c r="D40" s="1118"/>
      <c r="E40" s="1119"/>
      <c r="F40" s="1112"/>
      <c r="G40" s="1113"/>
      <c r="H40" s="1112"/>
      <c r="I40" s="1112"/>
      <c r="J40" s="1204"/>
      <c r="K40" s="1205"/>
      <c r="L40" s="1206"/>
      <c r="M40" s="1206"/>
      <c r="N40" s="1206"/>
      <c r="O40" s="1206"/>
      <c r="P40" s="1208"/>
      <c r="Q40" s="1208"/>
      <c r="R40" s="1206"/>
      <c r="S40" s="1206"/>
      <c r="T40" s="1206"/>
      <c r="U40" s="1206"/>
      <c r="V40" s="1206"/>
      <c r="W40" s="1254"/>
      <c r="X40" s="1206"/>
      <c r="Y40" s="1208"/>
      <c r="Z40" s="1208"/>
      <c r="AA40" s="1206"/>
      <c r="AB40" s="1307"/>
      <c r="AC40" s="1307"/>
      <c r="AD40" s="1208"/>
      <c r="AE40" s="1206"/>
      <c r="AF40" s="1309"/>
      <c r="AG40" s="1206"/>
      <c r="AH40" s="1387"/>
      <c r="AI40" s="1387"/>
      <c r="AJ40" s="1388"/>
      <c r="AK40" s="1208"/>
      <c r="AL40" s="1208"/>
      <c r="AM40" s="1389"/>
      <c r="AN40" s="1390"/>
      <c r="AO40" s="1402"/>
    </row>
    <row r="41" s="988" customFormat="1" ht="35.25" customHeight="1" spans="1:41">
      <c r="A41" s="1020"/>
      <c r="B41" s="1032"/>
      <c r="C41" s="1039"/>
      <c r="D41" s="1118"/>
      <c r="E41" s="1119"/>
      <c r="F41" s="1112"/>
      <c r="G41" s="1113"/>
      <c r="H41" s="1112"/>
      <c r="I41" s="1112"/>
      <c r="J41" s="1204"/>
      <c r="K41" s="1205"/>
      <c r="L41" s="1206"/>
      <c r="M41" s="1206"/>
      <c r="N41" s="1206"/>
      <c r="O41" s="1206"/>
      <c r="P41" s="1208"/>
      <c r="Q41" s="1208"/>
      <c r="R41" s="1206"/>
      <c r="S41" s="1206"/>
      <c r="T41" s="1206"/>
      <c r="U41" s="1206"/>
      <c r="V41" s="1206"/>
      <c r="W41" s="1254"/>
      <c r="X41" s="1206"/>
      <c r="Y41" s="1208"/>
      <c r="Z41" s="1208"/>
      <c r="AA41" s="1206"/>
      <c r="AB41" s="1307"/>
      <c r="AC41" s="1307"/>
      <c r="AD41" s="1208"/>
      <c r="AE41" s="1206"/>
      <c r="AF41" s="1309"/>
      <c r="AG41" s="1206"/>
      <c r="AH41" s="1387"/>
      <c r="AI41" s="1387"/>
      <c r="AJ41" s="1388"/>
      <c r="AK41" s="1208"/>
      <c r="AL41" s="1208"/>
      <c r="AM41" s="1389"/>
      <c r="AN41" s="1390"/>
      <c r="AO41" s="1402"/>
    </row>
    <row r="42" s="988" customFormat="1" ht="35.25" customHeight="1" spans="1:41">
      <c r="A42" s="1020"/>
      <c r="B42" s="1032"/>
      <c r="C42" s="1039"/>
      <c r="D42" s="1118"/>
      <c r="E42" s="1119"/>
      <c r="F42" s="1112"/>
      <c r="G42" s="1113"/>
      <c r="H42" s="1112"/>
      <c r="I42" s="1112"/>
      <c r="J42" s="1204"/>
      <c r="K42" s="1205"/>
      <c r="L42" s="1206"/>
      <c r="M42" s="1206"/>
      <c r="N42" s="1206"/>
      <c r="O42" s="1206"/>
      <c r="P42" s="1208"/>
      <c r="Q42" s="1208"/>
      <c r="R42" s="1206"/>
      <c r="S42" s="1206"/>
      <c r="T42" s="1206"/>
      <c r="U42" s="1206"/>
      <c r="V42" s="1206"/>
      <c r="W42" s="1254"/>
      <c r="X42" s="1206"/>
      <c r="Y42" s="1208"/>
      <c r="Z42" s="1208"/>
      <c r="AA42" s="1206"/>
      <c r="AB42" s="1307"/>
      <c r="AC42" s="1307"/>
      <c r="AD42" s="1208"/>
      <c r="AE42" s="1206"/>
      <c r="AF42" s="1309"/>
      <c r="AG42" s="1206"/>
      <c r="AH42" s="1387"/>
      <c r="AI42" s="1387"/>
      <c r="AJ42" s="1388"/>
      <c r="AK42" s="1208"/>
      <c r="AL42" s="1208"/>
      <c r="AM42" s="1389"/>
      <c r="AN42" s="1390"/>
      <c r="AO42" s="1402"/>
    </row>
    <row r="43" s="988" customFormat="1" ht="35.25" customHeight="1" spans="1:41">
      <c r="A43" s="1020"/>
      <c r="B43" s="1032"/>
      <c r="C43" s="1039"/>
      <c r="D43" s="1118"/>
      <c r="E43" s="1119"/>
      <c r="F43" s="1112"/>
      <c r="G43" s="1113"/>
      <c r="H43" s="1112"/>
      <c r="I43" s="1112"/>
      <c r="J43" s="1204"/>
      <c r="K43" s="1205"/>
      <c r="L43" s="1206"/>
      <c r="M43" s="1206"/>
      <c r="N43" s="1206"/>
      <c r="O43" s="1206"/>
      <c r="P43" s="1208"/>
      <c r="Q43" s="1208"/>
      <c r="R43" s="1206"/>
      <c r="S43" s="1206"/>
      <c r="T43" s="1206"/>
      <c r="U43" s="1206"/>
      <c r="V43" s="1206"/>
      <c r="W43" s="1254"/>
      <c r="X43" s="1206"/>
      <c r="Y43" s="1208"/>
      <c r="Z43" s="1208"/>
      <c r="AA43" s="1206"/>
      <c r="AB43" s="1307"/>
      <c r="AC43" s="1307"/>
      <c r="AD43" s="1208"/>
      <c r="AE43" s="1206"/>
      <c r="AF43" s="1309"/>
      <c r="AG43" s="1206"/>
      <c r="AH43" s="1387"/>
      <c r="AI43" s="1387"/>
      <c r="AJ43" s="1388"/>
      <c r="AK43" s="1208"/>
      <c r="AL43" s="1208"/>
      <c r="AM43" s="1389"/>
      <c r="AN43" s="1390"/>
      <c r="AO43" s="1402"/>
    </row>
    <row r="44" s="988" customFormat="1" ht="35.25" customHeight="1" spans="1:41">
      <c r="A44" s="1020"/>
      <c r="B44" s="1032"/>
      <c r="C44" s="1039"/>
      <c r="D44" s="1118"/>
      <c r="E44" s="1119"/>
      <c r="F44" s="1112"/>
      <c r="G44" s="1113"/>
      <c r="H44" s="1112"/>
      <c r="I44" s="1112"/>
      <c r="J44" s="1204"/>
      <c r="K44" s="1205"/>
      <c r="L44" s="1206"/>
      <c r="M44" s="1206"/>
      <c r="N44" s="1206"/>
      <c r="O44" s="1206"/>
      <c r="P44" s="1208"/>
      <c r="Q44" s="1208"/>
      <c r="R44" s="1206"/>
      <c r="S44" s="1206"/>
      <c r="T44" s="1206"/>
      <c r="U44" s="1206"/>
      <c r="V44" s="1206"/>
      <c r="W44" s="1254"/>
      <c r="X44" s="1206"/>
      <c r="Y44" s="1208"/>
      <c r="Z44" s="1208"/>
      <c r="AA44" s="1206"/>
      <c r="AB44" s="1307"/>
      <c r="AC44" s="1307"/>
      <c r="AD44" s="1208"/>
      <c r="AE44" s="1206"/>
      <c r="AF44" s="1309"/>
      <c r="AG44" s="1206"/>
      <c r="AH44" s="1387"/>
      <c r="AI44" s="1387"/>
      <c r="AJ44" s="1387"/>
      <c r="AK44" s="1208"/>
      <c r="AL44" s="1208"/>
      <c r="AM44" s="1389"/>
      <c r="AN44" s="1390"/>
      <c r="AO44" s="1402"/>
    </row>
    <row r="45" s="988" customFormat="1" ht="35.25" customHeight="1" spans="1:41">
      <c r="A45" s="1020"/>
      <c r="B45" s="1032"/>
      <c r="C45" s="1118"/>
      <c r="D45" s="1118"/>
      <c r="E45" s="1119"/>
      <c r="F45" s="1112"/>
      <c r="G45" s="1113"/>
      <c r="H45" s="1112"/>
      <c r="I45" s="1112"/>
      <c r="J45" s="1204"/>
      <c r="K45" s="1205"/>
      <c r="L45" s="1206"/>
      <c r="M45" s="1206"/>
      <c r="N45" s="1206"/>
      <c r="O45" s="1206"/>
      <c r="P45" s="1208"/>
      <c r="Q45" s="1208"/>
      <c r="R45" s="1206"/>
      <c r="S45" s="1206"/>
      <c r="T45" s="1206"/>
      <c r="U45" s="1206"/>
      <c r="V45" s="1206"/>
      <c r="W45" s="1254"/>
      <c r="X45" s="1206"/>
      <c r="Y45" s="1208"/>
      <c r="Z45" s="1208"/>
      <c r="AA45" s="1206"/>
      <c r="AB45" s="1307"/>
      <c r="AC45" s="1307"/>
      <c r="AD45" s="1208"/>
      <c r="AE45" s="1206"/>
      <c r="AF45" s="1309"/>
      <c r="AG45" s="1206"/>
      <c r="AH45" s="1387"/>
      <c r="AI45" s="1387"/>
      <c r="AJ45" s="1387"/>
      <c r="AK45" s="1208"/>
      <c r="AL45" s="1208"/>
      <c r="AM45" s="1389"/>
      <c r="AN45" s="1390"/>
      <c r="AO45" s="1402"/>
    </row>
    <row r="46" s="999" customFormat="1" ht="35.25" customHeight="1" spans="1:41">
      <c r="A46" s="1020"/>
      <c r="B46" s="1120" t="s">
        <v>2083</v>
      </c>
      <c r="C46" s="1121"/>
      <c r="D46" s="1121"/>
      <c r="E46" s="1122"/>
      <c r="F46" s="1123"/>
      <c r="G46" s="1124"/>
      <c r="H46" s="1125"/>
      <c r="I46" s="1125"/>
      <c r="J46" s="1125"/>
      <c r="K46" s="1214"/>
      <c r="L46" s="1215"/>
      <c r="M46" s="1215"/>
      <c r="N46" s="1216"/>
      <c r="O46" s="1216"/>
      <c r="P46" s="1217"/>
      <c r="Q46" s="1255"/>
      <c r="R46" s="1216"/>
      <c r="S46" s="1216"/>
      <c r="T46" s="1216"/>
      <c r="U46" s="1256"/>
      <c r="V46" s="1256"/>
      <c r="W46" s="1217"/>
      <c r="X46" s="1217"/>
      <c r="Y46" s="1217"/>
      <c r="Z46" s="1216"/>
      <c r="AA46" s="1216"/>
      <c r="AB46" s="1313"/>
      <c r="AC46" s="1313"/>
      <c r="AD46" s="1217"/>
      <c r="AE46" s="1314"/>
      <c r="AF46" s="1315"/>
      <c r="AG46" s="1395"/>
      <c r="AH46" s="1396"/>
      <c r="AI46" s="1396"/>
      <c r="AJ46" s="1396"/>
      <c r="AK46" s="1255"/>
      <c r="AL46" s="1255"/>
      <c r="AM46" s="1397"/>
      <c r="AN46" s="1120"/>
      <c r="AO46" s="1415"/>
    </row>
    <row r="47" spans="7:16">
      <c r="G47" s="1126"/>
      <c r="N47" s="1126"/>
      <c r="O47" s="1126"/>
      <c r="P47" s="1126"/>
    </row>
  </sheetData>
  <autoFilter ref="A6:CN46">
    <extLst/>
  </autoFilter>
  <mergeCells count="20">
    <mergeCell ref="L5:M5"/>
    <mergeCell ref="N5:U5"/>
    <mergeCell ref="A7:A46"/>
    <mergeCell ref="B5:B6"/>
    <mergeCell ref="F5:F6"/>
    <mergeCell ref="G5:G6"/>
    <mergeCell ref="H5:H6"/>
    <mergeCell ref="I5:I6"/>
    <mergeCell ref="J5:J6"/>
    <mergeCell ref="K5:K6"/>
    <mergeCell ref="W5:W6"/>
    <mergeCell ref="X5:X6"/>
    <mergeCell ref="Y5:Y6"/>
    <mergeCell ref="Z5:Z6"/>
    <mergeCell ref="AA5:AA6"/>
    <mergeCell ref="AB5:AB6"/>
    <mergeCell ref="AD5:AD6"/>
    <mergeCell ref="AE5:AE6"/>
    <mergeCell ref="AF5:AF6"/>
    <mergeCell ref="AK5:AK6"/>
  </mergeCells>
  <pageMargins left="0.7" right="0.7" top="0.75" bottom="0.75" header="0.3" footer="0.3"/>
  <pageSetup paperSize="9" orientation="portrait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9"/>
  <dimension ref="A2:O19"/>
  <sheetViews>
    <sheetView zoomScale="85" zoomScaleNormal="85" workbookViewId="0">
      <selection activeCell="E12" sqref="E12"/>
    </sheetView>
  </sheetViews>
  <sheetFormatPr defaultColWidth="9" defaultRowHeight="14.4"/>
  <cols>
    <col min="2" max="2" width="18.4444444444444" customWidth="1"/>
    <col min="3" max="3" width="14.4444444444444" customWidth="1"/>
    <col min="4" max="4" width="15.1111111111111" customWidth="1"/>
    <col min="5" max="5" width="18.2222222222222" customWidth="1"/>
    <col min="6" max="6" width="18.8888888888889" customWidth="1"/>
    <col min="7" max="7" width="9.77777777777778" customWidth="1"/>
    <col min="8" max="8" width="18.4444444444444" customWidth="1"/>
    <col min="9" max="9" width="10.1111111111111" customWidth="1"/>
    <col min="10" max="10" width="11" customWidth="1"/>
    <col min="11" max="11" width="29.6666666666667" customWidth="1"/>
    <col min="12" max="12" width="9.77777777777778" customWidth="1"/>
    <col min="13" max="13" width="31.7777777777778" customWidth="1"/>
    <col min="14" max="14" width="37.3333333333333" customWidth="1"/>
    <col min="15" max="15" width="14.1111111111111" customWidth="1"/>
  </cols>
  <sheetData>
    <row r="2" ht="17.4" spans="1:15">
      <c r="A2" s="607" t="s">
        <v>2084</v>
      </c>
      <c r="B2" s="607" t="s">
        <v>2085</v>
      </c>
      <c r="C2" s="607" t="s">
        <v>2086</v>
      </c>
      <c r="D2" s="607" t="s">
        <v>2087</v>
      </c>
      <c r="E2" s="607" t="s">
        <v>2088</v>
      </c>
      <c r="F2" s="607" t="s">
        <v>2089</v>
      </c>
      <c r="G2" s="607" t="s">
        <v>2090</v>
      </c>
      <c r="H2" s="607" t="s">
        <v>2091</v>
      </c>
      <c r="I2" s="607" t="s">
        <v>1087</v>
      </c>
      <c r="J2" s="607" t="s">
        <v>2092</v>
      </c>
      <c r="K2" s="607" t="s">
        <v>2093</v>
      </c>
      <c r="L2" s="607" t="s">
        <v>443</v>
      </c>
      <c r="M2" s="607" t="s">
        <v>2094</v>
      </c>
      <c r="N2" s="607" t="s">
        <v>113</v>
      </c>
      <c r="O2" s="607" t="s">
        <v>2095</v>
      </c>
    </row>
    <row r="3" ht="52.2" spans="1:15">
      <c r="A3" s="968" t="s">
        <v>2096</v>
      </c>
      <c r="B3" s="708" t="s">
        <v>2097</v>
      </c>
      <c r="C3" s="969">
        <v>0.12</v>
      </c>
      <c r="D3" s="20" t="s">
        <v>2098</v>
      </c>
      <c r="E3" s="20" t="s">
        <v>2099</v>
      </c>
      <c r="F3" s="20" t="s">
        <v>2100</v>
      </c>
      <c r="G3" s="20">
        <v>1.0098</v>
      </c>
      <c r="H3" s="250">
        <v>0.9463</v>
      </c>
      <c r="I3" s="250" t="s">
        <v>2101</v>
      </c>
      <c r="J3" s="979"/>
      <c r="K3" s="708"/>
      <c r="L3" s="20" t="s">
        <v>2096</v>
      </c>
      <c r="M3" s="289" t="s">
        <v>2102</v>
      </c>
      <c r="N3" s="289" t="s">
        <v>2103</v>
      </c>
      <c r="O3" s="289" t="s">
        <v>12</v>
      </c>
    </row>
    <row r="4" ht="17.4" spans="1:15">
      <c r="A4" s="970"/>
      <c r="B4" s="708" t="s">
        <v>1952</v>
      </c>
      <c r="C4" s="969">
        <v>0.11</v>
      </c>
      <c r="D4" s="20" t="s">
        <v>2104</v>
      </c>
      <c r="E4" s="971">
        <v>0.602</v>
      </c>
      <c r="F4" s="971">
        <v>0.938</v>
      </c>
      <c r="G4" s="20">
        <v>1</v>
      </c>
      <c r="H4" s="250">
        <v>0.93</v>
      </c>
      <c r="I4" s="858">
        <v>2.75</v>
      </c>
      <c r="J4" s="979"/>
      <c r="K4" s="708"/>
      <c r="L4" s="20" t="s">
        <v>2096</v>
      </c>
      <c r="M4" s="289"/>
      <c r="N4" s="288"/>
      <c r="O4" s="289" t="s">
        <v>12</v>
      </c>
    </row>
    <row r="5" ht="17.4" spans="1:15">
      <c r="A5" s="970"/>
      <c r="B5" s="708" t="s">
        <v>1915</v>
      </c>
      <c r="C5" s="969">
        <v>0.09</v>
      </c>
      <c r="D5" s="20" t="s">
        <v>2104</v>
      </c>
      <c r="E5" s="20" t="s">
        <v>2105</v>
      </c>
      <c r="F5" s="20" t="s">
        <v>2106</v>
      </c>
      <c r="G5" s="20">
        <v>1.0022</v>
      </c>
      <c r="H5" s="250">
        <v>0.9381</v>
      </c>
      <c r="I5" s="858">
        <v>2.5</v>
      </c>
      <c r="J5" s="979"/>
      <c r="K5" s="708"/>
      <c r="L5" s="20" t="s">
        <v>2096</v>
      </c>
      <c r="M5" s="289"/>
      <c r="N5" s="980"/>
      <c r="O5" s="289" t="s">
        <v>12</v>
      </c>
    </row>
    <row r="6" ht="17.4" spans="1:15">
      <c r="A6" s="970"/>
      <c r="B6" s="708" t="s">
        <v>2107</v>
      </c>
      <c r="C6" s="969">
        <v>0.09</v>
      </c>
      <c r="D6" s="20" t="s">
        <v>2104</v>
      </c>
      <c r="E6" s="971">
        <v>0.606</v>
      </c>
      <c r="F6" s="971">
        <v>0.933</v>
      </c>
      <c r="G6" s="20">
        <v>1.0065</v>
      </c>
      <c r="H6" s="250">
        <v>0.9413</v>
      </c>
      <c r="I6" s="250" t="s">
        <v>2101</v>
      </c>
      <c r="J6" s="979"/>
      <c r="K6" s="708"/>
      <c r="L6" s="20" t="s">
        <v>2096</v>
      </c>
      <c r="M6" s="289"/>
      <c r="N6" s="288"/>
      <c r="O6" s="289" t="s">
        <v>12</v>
      </c>
    </row>
    <row r="7" ht="22.5" hidden="1" customHeight="1" spans="1:15">
      <c r="A7" s="970"/>
      <c r="B7" s="708" t="s">
        <v>2108</v>
      </c>
      <c r="C7" s="969">
        <v>0.135</v>
      </c>
      <c r="D7" s="20" t="s">
        <v>2104</v>
      </c>
      <c r="E7" s="20" t="s">
        <v>2109</v>
      </c>
      <c r="F7" s="20" t="s">
        <v>2110</v>
      </c>
      <c r="G7" s="20">
        <v>1.0033</v>
      </c>
      <c r="H7" s="250">
        <v>0.9403</v>
      </c>
      <c r="I7" s="858">
        <v>2</v>
      </c>
      <c r="J7" s="979"/>
      <c r="K7" s="708"/>
      <c r="L7" s="20" t="s">
        <v>2096</v>
      </c>
      <c r="M7" s="289"/>
      <c r="N7" s="288"/>
      <c r="O7" s="289"/>
    </row>
    <row r="8" ht="17.4" spans="1:15">
      <c r="A8" s="970"/>
      <c r="B8" s="708" t="s">
        <v>851</v>
      </c>
      <c r="C8" s="969">
        <v>0.115</v>
      </c>
      <c r="D8" s="250" t="s">
        <v>2111</v>
      </c>
      <c r="E8" s="972">
        <v>0.658</v>
      </c>
      <c r="F8" s="972">
        <v>0.938</v>
      </c>
      <c r="G8" s="250">
        <v>0.989</v>
      </c>
      <c r="H8" s="250">
        <v>0.9265</v>
      </c>
      <c r="I8" s="858">
        <v>4.5</v>
      </c>
      <c r="J8" s="979"/>
      <c r="K8" s="708" t="s">
        <v>2112</v>
      </c>
      <c r="L8" s="20" t="s">
        <v>2096</v>
      </c>
      <c r="M8" s="289"/>
      <c r="N8" s="289" t="s">
        <v>2112</v>
      </c>
      <c r="O8" s="289" t="s">
        <v>1280</v>
      </c>
    </row>
    <row r="9" ht="17.4" spans="1:15">
      <c r="A9" s="973"/>
      <c r="B9" s="485" t="s">
        <v>2113</v>
      </c>
      <c r="C9" s="288">
        <v>0.088</v>
      </c>
      <c r="D9" s="288" t="s">
        <v>2111</v>
      </c>
      <c r="E9" s="974">
        <v>0.662</v>
      </c>
      <c r="F9" s="974">
        <v>0.945</v>
      </c>
      <c r="G9" s="250">
        <v>0.9936</v>
      </c>
      <c r="H9" s="250">
        <v>0.9317</v>
      </c>
      <c r="I9" s="858">
        <v>4.75</v>
      </c>
      <c r="J9" s="979"/>
      <c r="K9" s="708"/>
      <c r="L9" s="20" t="s">
        <v>2096</v>
      </c>
      <c r="M9" s="289"/>
      <c r="N9" s="289"/>
      <c r="O9" s="289"/>
    </row>
    <row r="10" ht="43.5" customHeight="1" spans="1:15">
      <c r="A10" s="975" t="s">
        <v>2114</v>
      </c>
      <c r="B10" s="485" t="s">
        <v>2115</v>
      </c>
      <c r="C10" s="969">
        <v>0.115</v>
      </c>
      <c r="D10" s="288" t="s">
        <v>2104</v>
      </c>
      <c r="E10" s="974">
        <v>0.5</v>
      </c>
      <c r="F10" s="974">
        <v>0.936</v>
      </c>
      <c r="G10" s="250">
        <v>1.007</v>
      </c>
      <c r="H10" s="250">
        <v>0.9432</v>
      </c>
      <c r="I10" s="858">
        <v>3.75</v>
      </c>
      <c r="J10" s="979"/>
      <c r="K10" s="485" t="s">
        <v>2116</v>
      </c>
      <c r="L10" s="288" t="s">
        <v>2114</v>
      </c>
      <c r="M10" s="289"/>
      <c r="N10" s="289" t="s">
        <v>7</v>
      </c>
      <c r="O10" s="289" t="s">
        <v>12</v>
      </c>
    </row>
    <row r="11" ht="43.5" customHeight="1" spans="1:15">
      <c r="A11" s="784"/>
      <c r="B11" s="485" t="s">
        <v>2055</v>
      </c>
      <c r="C11" s="969">
        <v>0.107</v>
      </c>
      <c r="D11" s="288" t="s">
        <v>2104</v>
      </c>
      <c r="E11" s="974">
        <v>0.68</v>
      </c>
      <c r="F11" s="974">
        <v>0.9</v>
      </c>
      <c r="G11" s="250">
        <v>0.9941</v>
      </c>
      <c r="H11" s="250">
        <v>0.9317</v>
      </c>
      <c r="I11" s="858">
        <v>7.5</v>
      </c>
      <c r="J11" s="979"/>
      <c r="K11" s="485" t="s">
        <v>2117</v>
      </c>
      <c r="L11" s="288" t="s">
        <v>2114</v>
      </c>
      <c r="M11" s="289"/>
      <c r="N11" s="289"/>
      <c r="O11" s="289" t="s">
        <v>12</v>
      </c>
    </row>
    <row r="12" ht="43.5" customHeight="1" spans="1:15">
      <c r="A12" s="976" t="s">
        <v>2118</v>
      </c>
      <c r="B12" s="485" t="s">
        <v>2119</v>
      </c>
      <c r="C12" s="969">
        <v>0.09</v>
      </c>
      <c r="D12" s="288" t="s">
        <v>2104</v>
      </c>
      <c r="E12" s="974">
        <v>0.675</v>
      </c>
      <c r="F12" s="974">
        <v>0.952</v>
      </c>
      <c r="G12" s="288">
        <v>1.0014</v>
      </c>
      <c r="H12" s="288">
        <v>0.933</v>
      </c>
      <c r="I12" s="858">
        <v>2.5</v>
      </c>
      <c r="J12" s="979"/>
      <c r="K12" s="485"/>
      <c r="L12" s="288" t="s">
        <v>2118</v>
      </c>
      <c r="M12" s="289"/>
      <c r="N12" s="289"/>
      <c r="O12" s="289"/>
    </row>
    <row r="13" ht="43.5" customHeight="1" spans="1:15">
      <c r="A13" s="977"/>
      <c r="B13" s="485" t="s">
        <v>2120</v>
      </c>
      <c r="C13" s="969">
        <v>0.115</v>
      </c>
      <c r="D13" s="288" t="s">
        <v>2104</v>
      </c>
      <c r="E13" s="974">
        <v>0.671</v>
      </c>
      <c r="F13" s="974">
        <v>0.955</v>
      </c>
      <c r="G13" s="288">
        <v>0.9973</v>
      </c>
      <c r="H13" s="288">
        <v>0.9362</v>
      </c>
      <c r="I13" s="858">
        <v>2.5</v>
      </c>
      <c r="J13" s="979"/>
      <c r="K13" s="485"/>
      <c r="L13" s="288" t="s">
        <v>2118</v>
      </c>
      <c r="M13" s="289"/>
      <c r="N13" s="289"/>
      <c r="O13" s="289"/>
    </row>
    <row r="14" ht="17.4" spans="1:15">
      <c r="A14" s="978"/>
      <c r="B14" s="978"/>
      <c r="C14" s="978"/>
      <c r="D14" s="978"/>
      <c r="E14" s="978"/>
      <c r="F14" s="978"/>
      <c r="G14" s="978"/>
      <c r="H14" s="978"/>
      <c r="I14" s="978"/>
      <c r="J14" s="978"/>
      <c r="K14" s="978"/>
      <c r="L14" s="978"/>
      <c r="M14" s="978"/>
      <c r="N14" s="978"/>
      <c r="O14" s="3"/>
    </row>
    <row r="15" s="733" customFormat="1" ht="21" customHeight="1" spans="1:14">
      <c r="A15" s="734" t="s">
        <v>2121</v>
      </c>
      <c r="B15" s="883" t="s">
        <v>2122</v>
      </c>
      <c r="C15" s="883"/>
      <c r="D15" s="883"/>
      <c r="E15" s="883"/>
      <c r="F15" s="883"/>
      <c r="G15" s="883"/>
      <c r="H15" s="883"/>
      <c r="I15" s="883"/>
      <c r="J15" s="883"/>
      <c r="K15" s="883"/>
      <c r="L15" s="883"/>
      <c r="M15" s="883"/>
      <c r="N15" s="883"/>
    </row>
    <row r="16" s="733" customFormat="1" ht="15.75" customHeight="1" spans="1:14">
      <c r="A16" s="734"/>
      <c r="B16" s="883"/>
      <c r="C16" s="883"/>
      <c r="D16" s="883"/>
      <c r="E16" s="883"/>
      <c r="F16" s="883"/>
      <c r="G16" s="883"/>
      <c r="H16" s="883"/>
      <c r="I16" s="883"/>
      <c r="J16" s="883"/>
      <c r="K16" s="883"/>
      <c r="L16" s="883"/>
      <c r="M16" s="883"/>
      <c r="N16" s="883"/>
    </row>
    <row r="17" s="733" customFormat="1" ht="18.75" customHeight="1" spans="1:14">
      <c r="A17" s="734"/>
      <c r="B17" s="883"/>
      <c r="C17" s="883"/>
      <c r="D17" s="883"/>
      <c r="E17" s="883"/>
      <c r="F17" s="883"/>
      <c r="G17" s="883"/>
      <c r="H17" s="883"/>
      <c r="I17" s="883"/>
      <c r="J17" s="883"/>
      <c r="K17" s="883"/>
      <c r="L17" s="883"/>
      <c r="M17" s="883"/>
      <c r="N17" s="883"/>
    </row>
    <row r="18" s="733" customFormat="1" ht="13.5" customHeight="1" spans="1:14">
      <c r="A18" s="734"/>
      <c r="B18" s="883"/>
      <c r="C18" s="883"/>
      <c r="D18" s="883"/>
      <c r="E18" s="883"/>
      <c r="F18" s="883"/>
      <c r="G18" s="883"/>
      <c r="H18" s="883"/>
      <c r="I18" s="883"/>
      <c r="J18" s="883"/>
      <c r="K18" s="883"/>
      <c r="L18" s="883"/>
      <c r="M18" s="883"/>
      <c r="N18" s="883"/>
    </row>
    <row r="19" s="733" customFormat="1"/>
  </sheetData>
  <mergeCells count="7">
    <mergeCell ref="A3:A9"/>
    <mergeCell ref="A10:A11"/>
    <mergeCell ref="A12:A13"/>
    <mergeCell ref="A15:A18"/>
    <mergeCell ref="M3:M8"/>
    <mergeCell ref="M10:M11"/>
    <mergeCell ref="B15:N18"/>
  </mergeCells>
  <pageMargins left="0.7" right="0.7" top="0.75" bottom="0.75" header="0.3" footer="0.3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0"/>
  <dimension ref="A1:AC62"/>
  <sheetViews>
    <sheetView zoomScale="80" zoomScaleNormal="80" workbookViewId="0">
      <pane xSplit="3" ySplit="2" topLeftCell="D3" activePane="bottomRight" state="frozen"/>
      <selection/>
      <selection pane="topRight"/>
      <selection pane="bottomLeft"/>
      <selection pane="bottomRight" activeCell="C30" sqref="C30"/>
    </sheetView>
  </sheetViews>
  <sheetFormatPr defaultColWidth="9" defaultRowHeight="15.6"/>
  <cols>
    <col min="2" max="2" width="13.2222222222222" style="784" customWidth="1"/>
    <col min="3" max="3" width="36.6666666666667" style="784" customWidth="1"/>
    <col min="4" max="4" width="13" style="785" customWidth="1"/>
    <col min="5" max="5" width="24.3333333333333" style="786" customWidth="1"/>
    <col min="6" max="6" width="31.1111111111111" style="786" customWidth="1"/>
    <col min="7" max="7" width="27" style="787" customWidth="1"/>
    <col min="8" max="8" width="23.1111111111111" style="787" customWidth="1"/>
    <col min="9" max="9" width="28.2222222222222" style="787" customWidth="1"/>
    <col min="10" max="10" width="15" style="787" customWidth="1"/>
    <col min="11" max="11" width="25.7777777777778" style="786" customWidth="1"/>
    <col min="12" max="14" width="13.7777777777778" style="786" customWidth="1"/>
    <col min="15" max="15" width="16.4444444444444" style="786" customWidth="1"/>
    <col min="16" max="18" width="13.7777777777778" style="786" customWidth="1"/>
    <col min="19" max="19" width="16.4444444444444" style="786" customWidth="1"/>
    <col min="20" max="20" width="18.4444444444444" style="786" customWidth="1"/>
    <col min="21" max="21" width="56.1111111111111" style="786" customWidth="1"/>
    <col min="23" max="23" width="10.3333333333333" customWidth="1"/>
    <col min="24" max="24" width="13.6666666666667" customWidth="1"/>
    <col min="25" max="25" width="14.3333333333333" customWidth="1"/>
  </cols>
  <sheetData>
    <row r="1" s="782" customFormat="1" ht="17.4" spans="2:21">
      <c r="B1" s="788"/>
      <c r="C1" s="788"/>
      <c r="D1" s="789"/>
      <c r="E1" s="790"/>
      <c r="F1" s="791" t="s">
        <v>2123</v>
      </c>
      <c r="G1" s="792">
        <f>(亮度與BLU功耗!E58/(1-亮度與BLU功耗!F57))/亮度與BLU功耗!E41/亮度與BLU功耗!E9/亮度與BLU功耗!D48/(亮度與BLU功耗!E39*亮度與BLU功耗!E42*亮度與BLU功耗!E44*亮度與BLU功耗!E45*亮度與BLU功耗!E46)/亮度與BLU功耗!F27/亮度與BLU功耗!F31/亮度與BLU功耗!F32*(VLOOKUP(亮度與BLU功耗!D29,棱鏡片選型!C3:G87,5,0))</f>
        <v>0.906696535971876</v>
      </c>
      <c r="H1" s="791" t="s">
        <v>2124</v>
      </c>
      <c r="I1" s="792">
        <f>'Thickness &amp; Weight'!C25-'Thickness &amp; Weight'!C23-'Thickness &amp; Weight'!D5-'Thickness &amp; Weight'!D6-'Thickness &amp; Weight'!D7-'Thickness &amp; Weight'!D8-'Thickness &amp; Weight'!D9-'Thickness &amp; Weight'!D10-'Thickness &amp; Weight'!D13-'Thickness &amp; Weight'!D14-'Thickness &amp; Weight'!D15-'Thickness &amp; Weight'!D16-'Thickness &amp; Weight'!D17-'Thickness &amp; Weight'!D18-'Thickness &amp; Weight'!D19</f>
        <v>0.581</v>
      </c>
      <c r="J1" s="886"/>
      <c r="K1" s="790"/>
      <c r="L1" s="790"/>
      <c r="M1" s="790"/>
      <c r="N1" s="790"/>
      <c r="O1" s="790"/>
      <c r="P1" s="790"/>
      <c r="Q1" s="790"/>
      <c r="R1" s="790"/>
      <c r="S1" s="790"/>
      <c r="T1" s="790"/>
      <c r="U1" s="790"/>
    </row>
    <row r="2" ht="18" customHeight="1" spans="2:22">
      <c r="B2" s="793"/>
      <c r="C2" s="794" t="s">
        <v>2125</v>
      </c>
      <c r="D2" s="794" t="s">
        <v>443</v>
      </c>
      <c r="E2" s="794" t="s">
        <v>2126</v>
      </c>
      <c r="F2" s="795" t="s">
        <v>2127</v>
      </c>
      <c r="G2" s="796" t="s">
        <v>2128</v>
      </c>
      <c r="H2" s="797" t="s">
        <v>1087</v>
      </c>
      <c r="I2" s="797" t="s">
        <v>2129</v>
      </c>
      <c r="J2" s="797" t="s">
        <v>2093</v>
      </c>
      <c r="K2" s="887" t="s">
        <v>2130</v>
      </c>
      <c r="L2" s="888" t="s">
        <v>2131</v>
      </c>
      <c r="M2" s="888" t="s">
        <v>2132</v>
      </c>
      <c r="N2" s="888" t="s">
        <v>2133</v>
      </c>
      <c r="O2" s="889" t="s">
        <v>2134</v>
      </c>
      <c r="P2" s="890" t="s">
        <v>2135</v>
      </c>
      <c r="Q2" s="889" t="s">
        <v>2136</v>
      </c>
      <c r="R2" s="890" t="s">
        <v>2137</v>
      </c>
      <c r="S2" s="795" t="s">
        <v>2138</v>
      </c>
      <c r="T2" s="795" t="s">
        <v>2139</v>
      </c>
      <c r="U2" s="795" t="s">
        <v>2140</v>
      </c>
      <c r="V2" s="924" t="s">
        <v>2141</v>
      </c>
    </row>
    <row r="3" s="527" customFormat="1" ht="21" customHeight="1" spans="1:22">
      <c r="A3" s="798" t="s">
        <v>2142</v>
      </c>
      <c r="B3" s="799" t="s">
        <v>2143</v>
      </c>
      <c r="C3" s="800" t="s">
        <v>2021</v>
      </c>
      <c r="D3" s="801" t="s">
        <v>2144</v>
      </c>
      <c r="E3" s="802" t="s">
        <v>12</v>
      </c>
      <c r="F3" s="803">
        <v>0</v>
      </c>
      <c r="G3" s="804">
        <v>1</v>
      </c>
      <c r="H3" s="805">
        <v>4.75</v>
      </c>
      <c r="I3" s="805">
        <f>N3+R3</f>
        <v>0.31</v>
      </c>
      <c r="J3" s="805" t="s">
        <v>2145</v>
      </c>
      <c r="K3" s="891" t="s">
        <v>2146</v>
      </c>
      <c r="L3" s="891" t="s">
        <v>594</v>
      </c>
      <c r="M3" s="891">
        <v>48</v>
      </c>
      <c r="N3" s="891">
        <v>0.155</v>
      </c>
      <c r="O3" s="891" t="s">
        <v>2146</v>
      </c>
      <c r="P3" s="892" t="s">
        <v>594</v>
      </c>
      <c r="Q3" s="891">
        <v>48</v>
      </c>
      <c r="R3" s="891">
        <v>0.155</v>
      </c>
      <c r="S3" s="925">
        <v>0</v>
      </c>
      <c r="T3" s="925">
        <v>0</v>
      </c>
      <c r="U3" s="926" t="s">
        <v>2145</v>
      </c>
      <c r="V3" s="927" t="s">
        <v>12</v>
      </c>
    </row>
    <row r="4" s="527" customFormat="1" ht="21" customHeight="1" spans="1:22">
      <c r="A4" s="806"/>
      <c r="B4" s="807"/>
      <c r="C4" s="808" t="s">
        <v>1940</v>
      </c>
      <c r="D4" s="809" t="s">
        <v>2144</v>
      </c>
      <c r="E4" s="810" t="s">
        <v>9</v>
      </c>
      <c r="F4" s="811">
        <v>0</v>
      </c>
      <c r="G4" s="812">
        <v>0.971757</v>
      </c>
      <c r="H4" s="813">
        <v>5</v>
      </c>
      <c r="I4" s="813">
        <f t="shared" ref="I4:I38" si="0">N4+R4</f>
        <v>0.375</v>
      </c>
      <c r="J4" s="813"/>
      <c r="K4" s="250" t="s">
        <v>2147</v>
      </c>
      <c r="L4" s="893">
        <v>0.2</v>
      </c>
      <c r="M4" s="250">
        <v>48</v>
      </c>
      <c r="N4" s="894">
        <v>0.22</v>
      </c>
      <c r="O4" s="250" t="s">
        <v>2146</v>
      </c>
      <c r="P4" s="895" t="s">
        <v>594</v>
      </c>
      <c r="Q4" s="250">
        <v>48</v>
      </c>
      <c r="R4" s="894">
        <v>0.155</v>
      </c>
      <c r="S4" s="928">
        <v>0.0009</v>
      </c>
      <c r="T4" s="928">
        <v>0.0017</v>
      </c>
      <c r="U4" s="929" t="s">
        <v>2148</v>
      </c>
      <c r="V4" s="930" t="s">
        <v>12</v>
      </c>
    </row>
    <row r="5" s="527" customFormat="1" ht="21" customHeight="1" spans="1:22">
      <c r="A5" s="806"/>
      <c r="B5" s="807"/>
      <c r="C5" s="808" t="s">
        <v>2149</v>
      </c>
      <c r="D5" s="809" t="s">
        <v>2144</v>
      </c>
      <c r="E5" s="814" t="s">
        <v>9</v>
      </c>
      <c r="F5" s="811">
        <v>0</v>
      </c>
      <c r="G5" s="812">
        <v>0.958458</v>
      </c>
      <c r="H5" s="813">
        <v>5.75</v>
      </c>
      <c r="I5" s="813">
        <f t="shared" si="0"/>
        <v>0.32</v>
      </c>
      <c r="J5" s="813"/>
      <c r="K5" s="250" t="s">
        <v>2147</v>
      </c>
      <c r="L5" s="893">
        <v>0.2</v>
      </c>
      <c r="M5" s="250">
        <v>48</v>
      </c>
      <c r="N5" s="894">
        <v>0.22</v>
      </c>
      <c r="O5" s="250" t="s">
        <v>2150</v>
      </c>
      <c r="P5" s="895">
        <v>0.04</v>
      </c>
      <c r="Q5" s="250">
        <v>50</v>
      </c>
      <c r="R5" s="894">
        <v>0.1</v>
      </c>
      <c r="S5" s="928">
        <v>0.0006</v>
      </c>
      <c r="T5" s="928">
        <v>0.0019</v>
      </c>
      <c r="U5" s="931" t="s">
        <v>2151</v>
      </c>
      <c r="V5" s="932" t="s">
        <v>12</v>
      </c>
    </row>
    <row r="6" s="527" customFormat="1" ht="21" customHeight="1" spans="1:22">
      <c r="A6" s="806"/>
      <c r="B6" s="807"/>
      <c r="C6" s="808" t="s">
        <v>2036</v>
      </c>
      <c r="D6" s="809" t="s">
        <v>2144</v>
      </c>
      <c r="E6" s="810" t="s">
        <v>9</v>
      </c>
      <c r="F6" s="815">
        <v>0</v>
      </c>
      <c r="G6" s="812">
        <v>0.934092</v>
      </c>
      <c r="H6" s="813">
        <v>5.25</v>
      </c>
      <c r="I6" s="813">
        <f t="shared" si="0"/>
        <v>0.44</v>
      </c>
      <c r="J6" s="813"/>
      <c r="K6" s="250" t="s">
        <v>2147</v>
      </c>
      <c r="L6" s="893">
        <v>0.2</v>
      </c>
      <c r="M6" s="250">
        <v>48</v>
      </c>
      <c r="N6" s="894">
        <v>0.22</v>
      </c>
      <c r="O6" s="250" t="s">
        <v>2147</v>
      </c>
      <c r="P6" s="895">
        <v>0.2</v>
      </c>
      <c r="Q6" s="250">
        <v>48</v>
      </c>
      <c r="R6" s="894">
        <v>0.22</v>
      </c>
      <c r="S6" s="928">
        <v>0.0029</v>
      </c>
      <c r="T6" s="928">
        <v>0.0057</v>
      </c>
      <c r="U6" s="929" t="s">
        <v>2148</v>
      </c>
      <c r="V6" s="930" t="s">
        <v>12</v>
      </c>
    </row>
    <row r="7" s="527" customFormat="1" ht="21" customHeight="1" spans="1:22">
      <c r="A7" s="806"/>
      <c r="B7" s="807"/>
      <c r="C7" s="808" t="s">
        <v>2152</v>
      </c>
      <c r="D7" s="816" t="s">
        <v>2153</v>
      </c>
      <c r="E7" s="810" t="s">
        <v>9</v>
      </c>
      <c r="F7" s="817">
        <v>0</v>
      </c>
      <c r="G7" s="818">
        <v>0.885825</v>
      </c>
      <c r="H7" s="813">
        <v>4.75</v>
      </c>
      <c r="I7" s="813">
        <f t="shared" si="0"/>
        <v>0.308</v>
      </c>
      <c r="J7" s="813"/>
      <c r="K7" s="250" t="s">
        <v>2154</v>
      </c>
      <c r="L7" s="893">
        <v>0.2</v>
      </c>
      <c r="M7" s="250">
        <v>48</v>
      </c>
      <c r="N7" s="894">
        <v>0.154</v>
      </c>
      <c r="O7" s="250" t="s">
        <v>2154</v>
      </c>
      <c r="P7" s="895">
        <v>0.2</v>
      </c>
      <c r="Q7" s="250">
        <v>48</v>
      </c>
      <c r="R7" s="894">
        <v>0.154</v>
      </c>
      <c r="S7" s="928">
        <v>-0.0006</v>
      </c>
      <c r="T7" s="928">
        <v>-0.0009</v>
      </c>
      <c r="U7" s="933" t="s">
        <v>2155</v>
      </c>
      <c r="V7" s="930" t="s">
        <v>12</v>
      </c>
    </row>
    <row r="8" s="527" customFormat="1" ht="21" customHeight="1" spans="1:22">
      <c r="A8" s="806"/>
      <c r="B8" s="807"/>
      <c r="C8" s="819" t="s">
        <v>770</v>
      </c>
      <c r="D8" s="816" t="s">
        <v>2153</v>
      </c>
      <c r="E8" s="810" t="s">
        <v>9</v>
      </c>
      <c r="F8" s="817">
        <v>0</v>
      </c>
      <c r="G8" s="818">
        <v>0.966549</v>
      </c>
      <c r="H8" s="820">
        <v>5</v>
      </c>
      <c r="I8" s="813">
        <f t="shared" si="0"/>
        <v>0.303</v>
      </c>
      <c r="J8" s="896"/>
      <c r="K8" s="250" t="s">
        <v>2154</v>
      </c>
      <c r="L8" s="897">
        <v>0.2</v>
      </c>
      <c r="M8" s="898">
        <v>48</v>
      </c>
      <c r="N8" s="899">
        <v>0.154</v>
      </c>
      <c r="O8" s="817" t="s">
        <v>2156</v>
      </c>
      <c r="P8" s="900" t="s">
        <v>594</v>
      </c>
      <c r="Q8" s="934">
        <v>48</v>
      </c>
      <c r="R8" s="935">
        <v>0.149</v>
      </c>
      <c r="S8" s="936">
        <v>-0.0004</v>
      </c>
      <c r="T8" s="936">
        <v>0.0003</v>
      </c>
      <c r="U8" s="933" t="s">
        <v>2155</v>
      </c>
      <c r="V8" s="930" t="s">
        <v>12</v>
      </c>
    </row>
    <row r="9" s="527" customFormat="1" ht="21" customHeight="1" spans="1:22">
      <c r="A9" s="806"/>
      <c r="B9" s="807"/>
      <c r="C9" s="808" t="s">
        <v>2157</v>
      </c>
      <c r="D9" s="816" t="s">
        <v>2153</v>
      </c>
      <c r="E9" s="810" t="s">
        <v>9</v>
      </c>
      <c r="F9" s="815">
        <v>0</v>
      </c>
      <c r="G9" s="812">
        <v>0.888708</v>
      </c>
      <c r="H9" s="813">
        <v>4.75</v>
      </c>
      <c r="I9" s="813">
        <f t="shared" si="0"/>
        <v>0.371</v>
      </c>
      <c r="J9" s="813"/>
      <c r="K9" s="250" t="s">
        <v>2158</v>
      </c>
      <c r="L9" s="250">
        <v>0.2</v>
      </c>
      <c r="M9" s="250">
        <v>48</v>
      </c>
      <c r="N9" s="894">
        <v>0.217</v>
      </c>
      <c r="O9" s="250" t="s">
        <v>2154</v>
      </c>
      <c r="P9" s="895">
        <v>0.2</v>
      </c>
      <c r="Q9" s="250">
        <v>48</v>
      </c>
      <c r="R9" s="894">
        <v>0.154</v>
      </c>
      <c r="S9" s="928">
        <v>0.0011</v>
      </c>
      <c r="T9" s="928">
        <v>0.0019</v>
      </c>
      <c r="U9" s="933" t="s">
        <v>2155</v>
      </c>
      <c r="V9" s="930" t="s">
        <v>12</v>
      </c>
    </row>
    <row r="10" s="527" customFormat="1" ht="21" customHeight="1" spans="1:22">
      <c r="A10" s="806"/>
      <c r="B10" s="807"/>
      <c r="C10" s="808" t="s">
        <v>2159</v>
      </c>
      <c r="D10" s="816" t="s">
        <v>2153</v>
      </c>
      <c r="E10" s="810" t="s">
        <v>9</v>
      </c>
      <c r="F10" s="815">
        <v>0</v>
      </c>
      <c r="G10" s="812">
        <v>0.959574</v>
      </c>
      <c r="H10" s="813">
        <v>5.25</v>
      </c>
      <c r="I10" s="813">
        <f t="shared" si="0"/>
        <v>0.291</v>
      </c>
      <c r="J10" s="813"/>
      <c r="K10" s="250" t="s">
        <v>2160</v>
      </c>
      <c r="L10" s="250">
        <v>0.16</v>
      </c>
      <c r="M10" s="250">
        <v>24</v>
      </c>
      <c r="N10" s="894">
        <v>0.142</v>
      </c>
      <c r="O10" s="250" t="s">
        <v>2156</v>
      </c>
      <c r="P10" s="895" t="s">
        <v>594</v>
      </c>
      <c r="Q10" s="250">
        <v>48</v>
      </c>
      <c r="R10" s="894">
        <v>0.149</v>
      </c>
      <c r="S10" s="928">
        <v>-0.0004</v>
      </c>
      <c r="T10" s="928">
        <v>-0.0002</v>
      </c>
      <c r="U10" s="933" t="s">
        <v>2161</v>
      </c>
      <c r="V10" s="930" t="s">
        <v>12</v>
      </c>
    </row>
    <row r="11" s="528" customFormat="1" ht="21" customHeight="1" spans="1:22">
      <c r="A11" s="806"/>
      <c r="B11" s="807"/>
      <c r="C11" s="821" t="s">
        <v>2162</v>
      </c>
      <c r="D11" s="816" t="s">
        <v>2153</v>
      </c>
      <c r="E11" s="822" t="s">
        <v>12</v>
      </c>
      <c r="F11" s="815">
        <v>-0.0203</v>
      </c>
      <c r="G11" s="812">
        <v>1.066</v>
      </c>
      <c r="H11" s="813">
        <v>7</v>
      </c>
      <c r="I11" s="813">
        <f t="shared" si="0"/>
        <v>0.303</v>
      </c>
      <c r="J11" s="813"/>
      <c r="K11" s="250" t="s">
        <v>2163</v>
      </c>
      <c r="L11" s="893">
        <v>0.03</v>
      </c>
      <c r="M11" s="250">
        <v>48</v>
      </c>
      <c r="N11" s="894">
        <v>0.154</v>
      </c>
      <c r="O11" s="250" t="s">
        <v>2164</v>
      </c>
      <c r="P11" s="895" t="s">
        <v>594</v>
      </c>
      <c r="Q11" s="250">
        <v>48</v>
      </c>
      <c r="R11" s="894">
        <v>0.149</v>
      </c>
      <c r="S11" s="928">
        <v>-0.0004</v>
      </c>
      <c r="T11" s="928">
        <v>-0.0012</v>
      </c>
      <c r="U11" s="937" t="s">
        <v>2165</v>
      </c>
      <c r="V11" s="938" t="s">
        <v>1280</v>
      </c>
    </row>
    <row r="12" s="528" customFormat="1" ht="21" customHeight="1" spans="1:22">
      <c r="A12" s="806"/>
      <c r="B12" s="807"/>
      <c r="C12" s="821" t="s">
        <v>1961</v>
      </c>
      <c r="D12" s="823" t="s">
        <v>1054</v>
      </c>
      <c r="E12" s="810" t="s">
        <v>12</v>
      </c>
      <c r="F12" s="815">
        <v>-0.0377</v>
      </c>
      <c r="G12" s="812">
        <v>1.0248</v>
      </c>
      <c r="H12" s="813">
        <v>7.5</v>
      </c>
      <c r="I12" s="813">
        <f t="shared" si="0"/>
        <v>0.259</v>
      </c>
      <c r="J12" s="813"/>
      <c r="K12" s="250" t="s">
        <v>2166</v>
      </c>
      <c r="L12" s="893">
        <v>0.03</v>
      </c>
      <c r="M12" s="250">
        <v>50</v>
      </c>
      <c r="N12" s="894">
        <v>0.132</v>
      </c>
      <c r="O12" s="250" t="s">
        <v>2167</v>
      </c>
      <c r="P12" s="895" t="s">
        <v>594</v>
      </c>
      <c r="Q12" s="250">
        <v>50</v>
      </c>
      <c r="R12" s="894">
        <v>0.127</v>
      </c>
      <c r="S12" s="936">
        <v>0</v>
      </c>
      <c r="T12" s="936">
        <v>0</v>
      </c>
      <c r="U12" s="939" t="s">
        <v>2168</v>
      </c>
      <c r="V12" s="930" t="s">
        <v>12</v>
      </c>
    </row>
    <row r="13" s="528" customFormat="1" ht="21" customHeight="1" spans="1:22">
      <c r="A13" s="806"/>
      <c r="B13" s="807"/>
      <c r="C13" s="821" t="s">
        <v>856</v>
      </c>
      <c r="D13" s="823" t="s">
        <v>1054</v>
      </c>
      <c r="E13" s="810" t="s">
        <v>12</v>
      </c>
      <c r="F13" s="815">
        <v>-0.0293</v>
      </c>
      <c r="G13" s="812">
        <v>1.041</v>
      </c>
      <c r="H13" s="820">
        <v>7.5</v>
      </c>
      <c r="I13" s="813">
        <f t="shared" si="0"/>
        <v>0.309</v>
      </c>
      <c r="J13" s="813"/>
      <c r="K13" s="250" t="s">
        <v>2169</v>
      </c>
      <c r="L13" s="250">
        <v>0.03</v>
      </c>
      <c r="M13" s="250">
        <v>50</v>
      </c>
      <c r="N13" s="894">
        <v>0.157</v>
      </c>
      <c r="O13" s="250" t="s">
        <v>2170</v>
      </c>
      <c r="P13" s="895" t="s">
        <v>594</v>
      </c>
      <c r="Q13" s="250">
        <v>50</v>
      </c>
      <c r="R13" s="894">
        <v>0.152</v>
      </c>
      <c r="S13" s="936">
        <v>0.0013</v>
      </c>
      <c r="T13" s="936">
        <v>0.0026</v>
      </c>
      <c r="U13" s="940"/>
      <c r="V13" s="930" t="s">
        <v>12</v>
      </c>
    </row>
    <row r="14" s="528" customFormat="1" ht="21" customHeight="1" spans="1:22">
      <c r="A14" s="806"/>
      <c r="B14" s="807"/>
      <c r="C14" s="821" t="s">
        <v>2171</v>
      </c>
      <c r="D14" s="824" t="s">
        <v>2172</v>
      </c>
      <c r="E14" s="810" t="s">
        <v>12</v>
      </c>
      <c r="F14" s="815">
        <v>-0.0347</v>
      </c>
      <c r="G14" s="812">
        <v>1.047</v>
      </c>
      <c r="H14" s="813">
        <v>7.5</v>
      </c>
      <c r="I14" s="813">
        <f t="shared" si="0"/>
        <v>0.314</v>
      </c>
      <c r="J14" s="901"/>
      <c r="K14" s="288" t="s">
        <v>2173</v>
      </c>
      <c r="L14" s="288">
        <v>0.03</v>
      </c>
      <c r="M14" s="288">
        <v>50</v>
      </c>
      <c r="N14" s="485">
        <v>0.157</v>
      </c>
      <c r="O14" s="288" t="s">
        <v>2174</v>
      </c>
      <c r="P14" s="902" t="s">
        <v>594</v>
      </c>
      <c r="Q14" s="288">
        <v>50</v>
      </c>
      <c r="R14" s="485">
        <v>0.157</v>
      </c>
      <c r="S14" s="936">
        <v>0.001</v>
      </c>
      <c r="T14" s="936">
        <v>0.0021</v>
      </c>
      <c r="U14" s="933" t="s">
        <v>2175</v>
      </c>
      <c r="V14" s="941" t="s">
        <v>1280</v>
      </c>
    </row>
    <row r="15" s="528" customFormat="1" ht="21" customHeight="1" spans="1:22">
      <c r="A15" s="806"/>
      <c r="B15" s="807"/>
      <c r="C15" s="821" t="s">
        <v>2176</v>
      </c>
      <c r="D15" s="824" t="s">
        <v>2172</v>
      </c>
      <c r="E15" s="810" t="s">
        <v>9</v>
      </c>
      <c r="F15" s="815">
        <v>-0.0052</v>
      </c>
      <c r="G15" s="812">
        <v>0.965619</v>
      </c>
      <c r="H15" s="813">
        <v>7.5</v>
      </c>
      <c r="I15" s="813">
        <f t="shared" si="0"/>
        <v>0.314</v>
      </c>
      <c r="J15" s="813"/>
      <c r="K15" s="250" t="s">
        <v>2177</v>
      </c>
      <c r="L15" s="893">
        <v>0.19</v>
      </c>
      <c r="M15" s="250">
        <v>50</v>
      </c>
      <c r="N15" s="894">
        <v>0.157</v>
      </c>
      <c r="O15" s="250" t="s">
        <v>2178</v>
      </c>
      <c r="P15" s="895" t="s">
        <v>594</v>
      </c>
      <c r="Q15" s="250">
        <v>50</v>
      </c>
      <c r="R15" s="894">
        <v>0.157</v>
      </c>
      <c r="S15" s="928">
        <v>0.0006</v>
      </c>
      <c r="T15" s="928">
        <v>0.0011</v>
      </c>
      <c r="U15" s="942" t="s">
        <v>2179</v>
      </c>
      <c r="V15" s="941" t="s">
        <v>1280</v>
      </c>
    </row>
    <row r="16" s="528" customFormat="1" ht="21" customHeight="1" spans="1:22">
      <c r="A16" s="806"/>
      <c r="B16" s="807" t="s">
        <v>2180</v>
      </c>
      <c r="C16" s="821" t="s">
        <v>2181</v>
      </c>
      <c r="D16" s="825" t="s">
        <v>2144</v>
      </c>
      <c r="E16" s="826" t="s">
        <v>9</v>
      </c>
      <c r="F16" s="815">
        <v>0</v>
      </c>
      <c r="G16" s="812">
        <v>0.997797</v>
      </c>
      <c r="H16" s="813">
        <v>5</v>
      </c>
      <c r="I16" s="813">
        <f t="shared" si="0"/>
        <v>0.313</v>
      </c>
      <c r="J16" s="813"/>
      <c r="K16" s="250" t="s">
        <v>2182</v>
      </c>
      <c r="L16" s="893">
        <v>0.15</v>
      </c>
      <c r="M16" s="250">
        <v>48</v>
      </c>
      <c r="N16" s="894">
        <v>0.158</v>
      </c>
      <c r="O16" s="250" t="s">
        <v>2146</v>
      </c>
      <c r="P16" s="895" t="s">
        <v>594</v>
      </c>
      <c r="Q16" s="250">
        <v>48</v>
      </c>
      <c r="R16" s="894">
        <v>0.155</v>
      </c>
      <c r="S16" s="936">
        <v>0.0001</v>
      </c>
      <c r="T16" s="936">
        <v>0.005</v>
      </c>
      <c r="U16" s="943" t="s">
        <v>2148</v>
      </c>
      <c r="V16" s="930" t="s">
        <v>12</v>
      </c>
    </row>
    <row r="17" s="528" customFormat="1" ht="21" customHeight="1" spans="1:22">
      <c r="A17" s="806"/>
      <c r="B17" s="807"/>
      <c r="C17" s="821" t="s">
        <v>2183</v>
      </c>
      <c r="D17" s="823" t="s">
        <v>1054</v>
      </c>
      <c r="E17" s="810" t="s">
        <v>9</v>
      </c>
      <c r="F17" s="815">
        <v>0</v>
      </c>
      <c r="G17" s="812">
        <v>1.010166</v>
      </c>
      <c r="H17" s="813">
        <v>7.5</v>
      </c>
      <c r="I17" s="813">
        <f t="shared" si="0"/>
        <v>0.296</v>
      </c>
      <c r="J17" s="813"/>
      <c r="K17" s="250" t="s">
        <v>2184</v>
      </c>
      <c r="L17" s="893">
        <v>0.2</v>
      </c>
      <c r="M17" s="250">
        <v>24</v>
      </c>
      <c r="N17" s="894">
        <v>0.144</v>
      </c>
      <c r="O17" s="250" t="s">
        <v>2170</v>
      </c>
      <c r="P17" s="895" t="s">
        <v>594</v>
      </c>
      <c r="Q17" s="250">
        <v>50</v>
      </c>
      <c r="R17" s="894">
        <v>0.152</v>
      </c>
      <c r="S17" s="928">
        <v>-0.0006</v>
      </c>
      <c r="T17" s="928">
        <v>0.0004</v>
      </c>
      <c r="U17" s="944" t="s">
        <v>2179</v>
      </c>
      <c r="V17" s="941" t="s">
        <v>1280</v>
      </c>
    </row>
    <row r="18" s="528" customFormat="1" ht="21" customHeight="1" spans="1:22">
      <c r="A18" s="806"/>
      <c r="B18" s="807"/>
      <c r="C18" s="827" t="s">
        <v>2045</v>
      </c>
      <c r="D18" s="823" t="s">
        <v>1054</v>
      </c>
      <c r="E18" s="810" t="s">
        <v>9</v>
      </c>
      <c r="F18" s="815">
        <v>0</v>
      </c>
      <c r="G18" s="812">
        <v>0.978453</v>
      </c>
      <c r="H18" s="813">
        <v>7.75</v>
      </c>
      <c r="I18" s="813">
        <f t="shared" si="0"/>
        <v>0.435</v>
      </c>
      <c r="J18" s="903"/>
      <c r="K18" s="250" t="s">
        <v>2185</v>
      </c>
      <c r="L18" s="893">
        <v>0.2</v>
      </c>
      <c r="M18" s="250">
        <v>50</v>
      </c>
      <c r="N18" s="894">
        <v>0.22</v>
      </c>
      <c r="O18" s="250" t="s">
        <v>2186</v>
      </c>
      <c r="P18" s="895" t="s">
        <v>594</v>
      </c>
      <c r="Q18" s="250">
        <v>50</v>
      </c>
      <c r="R18" s="894">
        <v>0.215</v>
      </c>
      <c r="S18" s="928">
        <v>0.0004</v>
      </c>
      <c r="T18" s="928">
        <v>0.0011</v>
      </c>
      <c r="U18" s="933" t="s">
        <v>2187</v>
      </c>
      <c r="V18" s="941" t="s">
        <v>12</v>
      </c>
    </row>
    <row r="19" s="527" customFormat="1" ht="21" customHeight="1" spans="1:22">
      <c r="A19" s="806"/>
      <c r="B19" s="807"/>
      <c r="C19" s="827" t="s">
        <v>2188</v>
      </c>
      <c r="D19" s="823" t="s">
        <v>1054</v>
      </c>
      <c r="E19" s="810" t="s">
        <v>12</v>
      </c>
      <c r="F19" s="815">
        <v>-0.0326</v>
      </c>
      <c r="G19" s="812">
        <v>1.0832</v>
      </c>
      <c r="H19" s="813">
        <v>7.75</v>
      </c>
      <c r="I19" s="813">
        <f t="shared" si="0"/>
        <v>0.279</v>
      </c>
      <c r="J19" s="903"/>
      <c r="K19" s="811" t="s">
        <v>2170</v>
      </c>
      <c r="L19" s="893" t="s">
        <v>594</v>
      </c>
      <c r="M19" s="250">
        <v>50</v>
      </c>
      <c r="N19" s="894">
        <v>0.152</v>
      </c>
      <c r="O19" s="811" t="s">
        <v>2189</v>
      </c>
      <c r="P19" s="904" t="s">
        <v>594</v>
      </c>
      <c r="Q19" s="945">
        <v>50</v>
      </c>
      <c r="R19" s="946">
        <v>0.127</v>
      </c>
      <c r="S19" s="947">
        <v>0.0006</v>
      </c>
      <c r="T19" s="947">
        <v>0.0015</v>
      </c>
      <c r="U19" s="944"/>
      <c r="V19" s="930" t="s">
        <v>12</v>
      </c>
    </row>
    <row r="20" s="527" customFormat="1" ht="21" customHeight="1" spans="1:22">
      <c r="A20" s="806"/>
      <c r="B20" s="807"/>
      <c r="C20" s="828" t="s">
        <v>2190</v>
      </c>
      <c r="D20" s="829" t="s">
        <v>2191</v>
      </c>
      <c r="E20" s="810" t="s">
        <v>9</v>
      </c>
      <c r="F20" s="830">
        <v>0</v>
      </c>
      <c r="G20" s="812">
        <v>0.98859</v>
      </c>
      <c r="H20" s="813">
        <v>7.25</v>
      </c>
      <c r="I20" s="813">
        <f t="shared" si="0"/>
        <v>0.293</v>
      </c>
      <c r="J20" s="903"/>
      <c r="K20" s="811" t="s">
        <v>2192</v>
      </c>
      <c r="L20" s="905">
        <v>0.2</v>
      </c>
      <c r="M20" s="894">
        <v>24</v>
      </c>
      <c r="N20" s="894">
        <v>0.143</v>
      </c>
      <c r="O20" s="906" t="s">
        <v>2193</v>
      </c>
      <c r="P20" s="907" t="s">
        <v>594</v>
      </c>
      <c r="Q20" s="894">
        <v>50</v>
      </c>
      <c r="R20" s="946">
        <v>0.15</v>
      </c>
      <c r="S20" s="948">
        <v>0.0011</v>
      </c>
      <c r="T20" s="948">
        <v>0.0022</v>
      </c>
      <c r="U20" s="944"/>
      <c r="V20" s="941" t="s">
        <v>1280</v>
      </c>
    </row>
    <row r="21" s="527" customFormat="1" ht="21" customHeight="1" spans="1:22">
      <c r="A21" s="806"/>
      <c r="B21" s="807"/>
      <c r="C21" s="831" t="s">
        <v>2194</v>
      </c>
      <c r="D21" s="829" t="s">
        <v>2191</v>
      </c>
      <c r="E21" s="810" t="s">
        <v>12</v>
      </c>
      <c r="F21" s="815">
        <v>-0.0318</v>
      </c>
      <c r="G21" s="812">
        <v>1.0654</v>
      </c>
      <c r="H21" s="813">
        <v>7.25</v>
      </c>
      <c r="I21" s="813">
        <f t="shared" si="0"/>
        <v>0.306</v>
      </c>
      <c r="J21" s="908"/>
      <c r="K21" s="811" t="s">
        <v>2195</v>
      </c>
      <c r="L21" s="909">
        <v>0.01</v>
      </c>
      <c r="M21" s="910">
        <v>50</v>
      </c>
      <c r="N21" s="894">
        <v>0.156</v>
      </c>
      <c r="O21" s="906" t="s">
        <v>2193</v>
      </c>
      <c r="P21" s="907" t="s">
        <v>594</v>
      </c>
      <c r="Q21" s="910">
        <v>50</v>
      </c>
      <c r="R21" s="946">
        <v>0.15</v>
      </c>
      <c r="S21" s="949">
        <v>0.002</v>
      </c>
      <c r="T21" s="949">
        <v>0.0041</v>
      </c>
      <c r="U21" s="944" t="s">
        <v>2179</v>
      </c>
      <c r="V21" s="941" t="s">
        <v>1280</v>
      </c>
    </row>
    <row r="22" s="527" customFormat="1" ht="21" customHeight="1" spans="1:22">
      <c r="A22" s="806"/>
      <c r="B22" s="807"/>
      <c r="C22" s="831" t="s">
        <v>2196</v>
      </c>
      <c r="D22" s="824" t="s">
        <v>2172</v>
      </c>
      <c r="E22" s="810" t="s">
        <v>12</v>
      </c>
      <c r="F22" s="832">
        <v>-0.047</v>
      </c>
      <c r="G22" s="833">
        <v>1.065</v>
      </c>
      <c r="H22" s="813">
        <v>8.75</v>
      </c>
      <c r="I22" s="813">
        <f t="shared" si="0"/>
        <v>0.264</v>
      </c>
      <c r="J22" s="903"/>
      <c r="K22" s="811" t="s">
        <v>2197</v>
      </c>
      <c r="L22" s="909">
        <v>0.03</v>
      </c>
      <c r="M22" s="910">
        <v>50</v>
      </c>
      <c r="N22" s="894">
        <v>0.132</v>
      </c>
      <c r="O22" s="906" t="s">
        <v>2198</v>
      </c>
      <c r="P22" s="907">
        <v>0.015</v>
      </c>
      <c r="Q22" s="910">
        <v>50</v>
      </c>
      <c r="R22" s="946">
        <v>0.132</v>
      </c>
      <c r="S22" s="949">
        <v>0.0006</v>
      </c>
      <c r="T22" s="949">
        <v>0.0016</v>
      </c>
      <c r="U22" s="944" t="s">
        <v>2165</v>
      </c>
      <c r="V22" s="930" t="s">
        <v>1280</v>
      </c>
    </row>
    <row r="23" s="527" customFormat="1" ht="21" customHeight="1" spans="1:22">
      <c r="A23" s="806"/>
      <c r="B23" s="807" t="s">
        <v>2199</v>
      </c>
      <c r="C23" s="831" t="s">
        <v>2200</v>
      </c>
      <c r="D23" s="823" t="s">
        <v>1054</v>
      </c>
      <c r="E23" s="810" t="s">
        <v>9</v>
      </c>
      <c r="F23" s="834">
        <v>-0.0294</v>
      </c>
      <c r="G23" s="835">
        <v>1.058712</v>
      </c>
      <c r="H23" s="813">
        <v>23.25</v>
      </c>
      <c r="I23" s="813">
        <f t="shared" si="0"/>
        <v>0.221</v>
      </c>
      <c r="J23" s="813"/>
      <c r="K23" s="811" t="s">
        <v>2201</v>
      </c>
      <c r="L23" s="905">
        <v>0.3</v>
      </c>
      <c r="M23" s="894">
        <v>24</v>
      </c>
      <c r="N23" s="894">
        <v>0.094</v>
      </c>
      <c r="O23" s="906" t="s">
        <v>2202</v>
      </c>
      <c r="P23" s="907" t="s">
        <v>594</v>
      </c>
      <c r="Q23" s="894">
        <v>50</v>
      </c>
      <c r="R23" s="946">
        <v>0.127</v>
      </c>
      <c r="S23" s="950">
        <v>0.0025</v>
      </c>
      <c r="T23" s="950">
        <v>0.0048</v>
      </c>
      <c r="U23" s="939" t="s">
        <v>2203</v>
      </c>
      <c r="V23" s="930" t="s">
        <v>1280</v>
      </c>
    </row>
    <row r="24" s="528" customFormat="1" ht="21" customHeight="1" spans="1:22">
      <c r="A24" s="806"/>
      <c r="B24" s="807"/>
      <c r="C24" s="836" t="s">
        <v>2074</v>
      </c>
      <c r="D24" s="823" t="s">
        <v>1054</v>
      </c>
      <c r="E24" s="810" t="s">
        <v>12</v>
      </c>
      <c r="F24" s="834">
        <v>-0.0533</v>
      </c>
      <c r="G24" s="835">
        <v>1.1487</v>
      </c>
      <c r="H24" s="813">
        <v>26.25</v>
      </c>
      <c r="I24" s="813">
        <f t="shared" si="0"/>
        <v>0.254</v>
      </c>
      <c r="J24" s="813"/>
      <c r="K24" s="811" t="s">
        <v>2202</v>
      </c>
      <c r="L24" s="905" t="s">
        <v>594</v>
      </c>
      <c r="M24" s="894">
        <v>50</v>
      </c>
      <c r="N24" s="894">
        <v>0.127</v>
      </c>
      <c r="O24" s="906" t="s">
        <v>2202</v>
      </c>
      <c r="P24" s="907" t="s">
        <v>594</v>
      </c>
      <c r="Q24" s="894">
        <v>50</v>
      </c>
      <c r="R24" s="946">
        <v>0.127</v>
      </c>
      <c r="S24" s="950">
        <v>0.0055</v>
      </c>
      <c r="T24" s="950">
        <v>0.0097</v>
      </c>
      <c r="U24" s="939" t="s">
        <v>2204</v>
      </c>
      <c r="V24" s="930" t="s">
        <v>1280</v>
      </c>
    </row>
    <row r="25" s="527" customFormat="1" ht="21" customHeight="1" spans="1:22">
      <c r="A25" s="806"/>
      <c r="B25" s="807"/>
      <c r="C25" s="836" t="s">
        <v>2205</v>
      </c>
      <c r="D25" s="823" t="s">
        <v>1054</v>
      </c>
      <c r="E25" s="810" t="s">
        <v>12</v>
      </c>
      <c r="F25" s="834">
        <v>-0.0504</v>
      </c>
      <c r="G25" s="835">
        <v>1.1289</v>
      </c>
      <c r="H25" s="813">
        <v>33.25</v>
      </c>
      <c r="I25" s="813">
        <f t="shared" si="0"/>
        <v>0.21</v>
      </c>
      <c r="J25" s="813"/>
      <c r="K25" s="811" t="s">
        <v>2206</v>
      </c>
      <c r="L25" s="905" t="s">
        <v>594</v>
      </c>
      <c r="M25" s="894">
        <v>50</v>
      </c>
      <c r="N25" s="894">
        <v>0.105</v>
      </c>
      <c r="O25" s="906" t="s">
        <v>2206</v>
      </c>
      <c r="P25" s="907" t="s">
        <v>594</v>
      </c>
      <c r="Q25" s="894">
        <v>50</v>
      </c>
      <c r="R25" s="946">
        <v>0.105</v>
      </c>
      <c r="S25" s="950">
        <v>0.0054</v>
      </c>
      <c r="T25" s="950">
        <v>0.0093</v>
      </c>
      <c r="U25" s="951"/>
      <c r="V25" s="930" t="s">
        <v>1280</v>
      </c>
    </row>
    <row r="26" s="527" customFormat="1" ht="21" customHeight="1" spans="1:22">
      <c r="A26" s="806"/>
      <c r="B26" s="807"/>
      <c r="C26" s="837" t="s">
        <v>2207</v>
      </c>
      <c r="D26" s="823" t="s">
        <v>1054</v>
      </c>
      <c r="E26" s="810" t="s">
        <v>12</v>
      </c>
      <c r="F26" s="834">
        <v>-0.0443</v>
      </c>
      <c r="G26" s="835">
        <v>1.1569</v>
      </c>
      <c r="H26" s="813">
        <v>35.25</v>
      </c>
      <c r="I26" s="813">
        <f t="shared" si="0"/>
        <v>0.304</v>
      </c>
      <c r="J26" s="813"/>
      <c r="K26" s="811" t="s">
        <v>2208</v>
      </c>
      <c r="L26" s="905" t="s">
        <v>594</v>
      </c>
      <c r="M26" s="894">
        <v>50</v>
      </c>
      <c r="N26" s="894">
        <v>0.152</v>
      </c>
      <c r="O26" s="906" t="s">
        <v>2208</v>
      </c>
      <c r="P26" s="907" t="s">
        <v>594</v>
      </c>
      <c r="Q26" s="894">
        <v>50</v>
      </c>
      <c r="R26" s="946">
        <v>0.152</v>
      </c>
      <c r="S26" s="950">
        <v>0.0056</v>
      </c>
      <c r="T26" s="950">
        <v>0.0102</v>
      </c>
      <c r="U26" s="951"/>
      <c r="V26" s="930" t="s">
        <v>1280</v>
      </c>
    </row>
    <row r="27" s="528" customFormat="1" ht="21" customHeight="1" spans="1:22">
      <c r="A27" s="806"/>
      <c r="B27" s="807"/>
      <c r="C27" s="836" t="s">
        <v>2209</v>
      </c>
      <c r="D27" s="838" t="s">
        <v>2210</v>
      </c>
      <c r="E27" s="839" t="s">
        <v>12</v>
      </c>
      <c r="F27" s="834">
        <v>-0.0689</v>
      </c>
      <c r="G27" s="835">
        <v>1.1715</v>
      </c>
      <c r="H27" s="813">
        <v>27.25</v>
      </c>
      <c r="I27" s="813">
        <f t="shared" si="0"/>
        <v>0.21</v>
      </c>
      <c r="J27" s="896"/>
      <c r="K27" s="811" t="s">
        <v>2211</v>
      </c>
      <c r="L27" s="911" t="s">
        <v>594</v>
      </c>
      <c r="M27" s="912">
        <v>50</v>
      </c>
      <c r="N27" s="912">
        <v>0.105</v>
      </c>
      <c r="O27" s="913" t="s">
        <v>2211</v>
      </c>
      <c r="P27" s="914" t="s">
        <v>594</v>
      </c>
      <c r="Q27" s="912">
        <v>50</v>
      </c>
      <c r="R27" s="952">
        <v>0.105</v>
      </c>
      <c r="S27" s="928">
        <v>0.0048</v>
      </c>
      <c r="T27" s="928">
        <v>0.008</v>
      </c>
      <c r="U27" s="951"/>
      <c r="V27" s="953" t="s">
        <v>12</v>
      </c>
    </row>
    <row r="28" s="528" customFormat="1" ht="21" customHeight="1" spans="1:22">
      <c r="A28" s="806"/>
      <c r="B28" s="807"/>
      <c r="C28" s="836" t="s">
        <v>2212</v>
      </c>
      <c r="D28" s="838" t="s">
        <v>2210</v>
      </c>
      <c r="E28" s="839" t="s">
        <v>12</v>
      </c>
      <c r="F28" s="834">
        <v>-0.06</v>
      </c>
      <c r="G28" s="835">
        <v>1.1092</v>
      </c>
      <c r="H28" s="813">
        <v>27.25</v>
      </c>
      <c r="I28" s="813">
        <f t="shared" si="0"/>
        <v>0.31</v>
      </c>
      <c r="J28" s="813"/>
      <c r="K28" s="811" t="s">
        <v>2213</v>
      </c>
      <c r="L28" s="894" t="s">
        <v>594</v>
      </c>
      <c r="M28" s="912">
        <v>50</v>
      </c>
      <c r="N28" s="912">
        <v>0.155</v>
      </c>
      <c r="O28" s="912" t="s">
        <v>2213</v>
      </c>
      <c r="P28" s="907" t="s">
        <v>594</v>
      </c>
      <c r="Q28" s="912">
        <v>50</v>
      </c>
      <c r="R28" s="912">
        <v>0.155</v>
      </c>
      <c r="S28" s="928">
        <v>0.0055</v>
      </c>
      <c r="T28" s="928">
        <v>0.009</v>
      </c>
      <c r="U28" s="951"/>
      <c r="V28" s="953" t="s">
        <v>12</v>
      </c>
    </row>
    <row r="29" s="527" customFormat="1" ht="21" customHeight="1" spans="1:22">
      <c r="A29" s="840"/>
      <c r="B29" s="841"/>
      <c r="C29" s="842" t="s">
        <v>2214</v>
      </c>
      <c r="D29" s="843" t="s">
        <v>2172</v>
      </c>
      <c r="E29" s="844" t="s">
        <v>12</v>
      </c>
      <c r="F29" s="845">
        <v>-0.0659</v>
      </c>
      <c r="G29" s="846">
        <v>1.108</v>
      </c>
      <c r="H29" s="847">
        <v>21.5</v>
      </c>
      <c r="I29" s="847">
        <f t="shared" si="0"/>
        <v>0.264</v>
      </c>
      <c r="J29" s="847"/>
      <c r="K29" s="915" t="s">
        <v>2215</v>
      </c>
      <c r="L29" s="916">
        <v>0.03</v>
      </c>
      <c r="M29" s="917">
        <v>50</v>
      </c>
      <c r="N29" s="917">
        <v>0.132</v>
      </c>
      <c r="O29" s="917" t="s">
        <v>2216</v>
      </c>
      <c r="P29" s="918">
        <v>0.015</v>
      </c>
      <c r="Q29" s="917">
        <v>50</v>
      </c>
      <c r="R29" s="917">
        <v>0.132</v>
      </c>
      <c r="S29" s="954">
        <v>0.0057</v>
      </c>
      <c r="T29" s="954">
        <v>0.0094</v>
      </c>
      <c r="U29" s="955"/>
      <c r="V29" s="956" t="s">
        <v>1280</v>
      </c>
    </row>
    <row r="30" s="527" customFormat="1" ht="21" customHeight="1" spans="1:22">
      <c r="A30" s="806" t="s">
        <v>2217</v>
      </c>
      <c r="B30" s="807" t="s">
        <v>2143</v>
      </c>
      <c r="C30" s="848" t="s">
        <v>2218</v>
      </c>
      <c r="D30" s="838" t="s">
        <v>2210</v>
      </c>
      <c r="E30" s="849" t="s">
        <v>9</v>
      </c>
      <c r="F30" s="815">
        <v>-0.0032</v>
      </c>
      <c r="G30" s="812">
        <v>0.9579</v>
      </c>
      <c r="H30" s="813">
        <v>23.75</v>
      </c>
      <c r="I30" s="813">
        <f t="shared" si="0"/>
        <v>0.13</v>
      </c>
      <c r="J30" s="813"/>
      <c r="K30" s="485" t="str">
        <f>C30</f>
        <v>XLAS131WJM7(21V)(抗刮NG)</v>
      </c>
      <c r="L30" s="905">
        <v>0.3</v>
      </c>
      <c r="M30" s="894">
        <v>21</v>
      </c>
      <c r="N30" s="894">
        <v>0.13</v>
      </c>
      <c r="O30" s="894"/>
      <c r="P30" s="907"/>
      <c r="Q30" s="894"/>
      <c r="R30" s="894"/>
      <c r="S30" s="928">
        <v>-0.0005</v>
      </c>
      <c r="T30" s="928">
        <v>-0.0014</v>
      </c>
      <c r="U30" s="957" t="s">
        <v>2219</v>
      </c>
      <c r="V30" s="958" t="s">
        <v>1280</v>
      </c>
    </row>
    <row r="31" s="527" customFormat="1" ht="21" customHeight="1" spans="1:22">
      <c r="A31" s="806"/>
      <c r="B31" s="807"/>
      <c r="C31" s="819" t="s">
        <v>1916</v>
      </c>
      <c r="D31" s="838" t="s">
        <v>2210</v>
      </c>
      <c r="E31" s="850" t="s">
        <v>12</v>
      </c>
      <c r="F31" s="815">
        <v>-0.028</v>
      </c>
      <c r="G31" s="812">
        <v>1.0343</v>
      </c>
      <c r="H31" s="813">
        <v>23.75</v>
      </c>
      <c r="I31" s="813">
        <f t="shared" si="0"/>
        <v>0.188</v>
      </c>
      <c r="J31" s="813"/>
      <c r="K31" s="485" t="str">
        <f t="shared" ref="K31:K38" si="1">C31</f>
        <v>XLAS201WJM5(50L)</v>
      </c>
      <c r="L31" s="905">
        <v>0.03</v>
      </c>
      <c r="M31" s="894">
        <v>50</v>
      </c>
      <c r="N31" s="894">
        <v>0.188</v>
      </c>
      <c r="O31" s="894"/>
      <c r="P31" s="907"/>
      <c r="Q31" s="894"/>
      <c r="R31" s="894"/>
      <c r="S31" s="928">
        <v>0.0033</v>
      </c>
      <c r="T31" s="928">
        <v>0.0049</v>
      </c>
      <c r="U31" s="957" t="s">
        <v>2220</v>
      </c>
      <c r="V31" s="958" t="s">
        <v>1280</v>
      </c>
    </row>
    <row r="32" s="527" customFormat="1" ht="21" customHeight="1" spans="1:22">
      <c r="A32" s="806"/>
      <c r="B32" s="807"/>
      <c r="C32" s="851" t="s">
        <v>1904</v>
      </c>
      <c r="D32" s="838" t="s">
        <v>2210</v>
      </c>
      <c r="E32" s="850" t="s">
        <v>12</v>
      </c>
      <c r="F32" s="815">
        <v>-0.036</v>
      </c>
      <c r="G32" s="812">
        <v>1.0439</v>
      </c>
      <c r="H32" s="813">
        <v>29.75</v>
      </c>
      <c r="I32" s="813">
        <f t="shared" si="0"/>
        <v>0.188</v>
      </c>
      <c r="J32" s="813"/>
      <c r="K32" s="485" t="str">
        <f t="shared" si="1"/>
        <v>XLAS201TJM5(50V)</v>
      </c>
      <c r="L32" s="905">
        <v>0.03</v>
      </c>
      <c r="M32" s="894">
        <v>50</v>
      </c>
      <c r="N32" s="894">
        <v>0.188</v>
      </c>
      <c r="O32" s="894"/>
      <c r="P32" s="907"/>
      <c r="Q32" s="894"/>
      <c r="R32" s="894"/>
      <c r="S32" s="928">
        <v>0.0057</v>
      </c>
      <c r="T32" s="928">
        <v>0.0097</v>
      </c>
      <c r="U32" s="957" t="s">
        <v>2220</v>
      </c>
      <c r="V32" s="958" t="s">
        <v>12</v>
      </c>
    </row>
    <row r="33" s="527" customFormat="1" ht="21" customHeight="1" spans="1:22">
      <c r="A33" s="806"/>
      <c r="B33" s="807"/>
      <c r="C33" s="819" t="s">
        <v>2221</v>
      </c>
      <c r="D33" s="809" t="s">
        <v>2144</v>
      </c>
      <c r="E33" s="810" t="s">
        <v>12</v>
      </c>
      <c r="F33" s="815">
        <v>0</v>
      </c>
      <c r="G33" s="812">
        <v>0.9596</v>
      </c>
      <c r="H33" s="813">
        <v>16</v>
      </c>
      <c r="I33" s="813">
        <f t="shared" si="0"/>
        <v>0.19</v>
      </c>
      <c r="J33" s="813"/>
      <c r="K33" s="485" t="str">
        <f t="shared" si="1"/>
        <v>AMS-PP23H</v>
      </c>
      <c r="L33" s="919">
        <v>0.04</v>
      </c>
      <c r="M33" s="894">
        <v>50</v>
      </c>
      <c r="N33" s="894">
        <v>0.19</v>
      </c>
      <c r="O33" s="894"/>
      <c r="P33" s="907"/>
      <c r="Q33" s="894"/>
      <c r="R33" s="894"/>
      <c r="S33" s="928">
        <v>0.0019</v>
      </c>
      <c r="T33" s="928">
        <v>0.0032</v>
      </c>
      <c r="U33" s="957" t="s">
        <v>2222</v>
      </c>
      <c r="V33" s="930" t="s">
        <v>12</v>
      </c>
    </row>
    <row r="34" s="528" customFormat="1" ht="21" customHeight="1" spans="1:22">
      <c r="A34" s="806"/>
      <c r="B34" s="807"/>
      <c r="C34" s="851" t="s">
        <v>2223</v>
      </c>
      <c r="D34" s="809" t="s">
        <v>2144</v>
      </c>
      <c r="E34" s="852" t="s">
        <v>9</v>
      </c>
      <c r="F34" s="815">
        <v>0</v>
      </c>
      <c r="G34" s="812">
        <v>0.92814</v>
      </c>
      <c r="H34" s="813">
        <v>16.25</v>
      </c>
      <c r="I34" s="813">
        <f t="shared" si="0"/>
        <v>0.185</v>
      </c>
      <c r="J34" s="813"/>
      <c r="K34" s="485" t="str">
        <f t="shared" si="1"/>
        <v>AMS-PP23H（P25M）</v>
      </c>
      <c r="L34" s="905">
        <v>0.4</v>
      </c>
      <c r="M34" s="894">
        <v>25</v>
      </c>
      <c r="N34" s="894">
        <v>0.185</v>
      </c>
      <c r="O34" s="894"/>
      <c r="P34" s="907"/>
      <c r="Q34" s="894"/>
      <c r="R34" s="894"/>
      <c r="S34" s="959">
        <v>0</v>
      </c>
      <c r="T34" s="959">
        <v>0</v>
      </c>
      <c r="U34" s="957" t="s">
        <v>2165</v>
      </c>
      <c r="V34" s="960" t="s">
        <v>9</v>
      </c>
    </row>
    <row r="35" s="528" customFormat="1" ht="21" customHeight="1" spans="1:22">
      <c r="A35" s="806"/>
      <c r="B35" s="807"/>
      <c r="C35" s="853" t="s">
        <v>2224</v>
      </c>
      <c r="D35" s="854" t="s">
        <v>2153</v>
      </c>
      <c r="E35" s="855" t="s">
        <v>12</v>
      </c>
      <c r="F35" s="856">
        <v>-0.016</v>
      </c>
      <c r="G35" s="857">
        <v>0.9923</v>
      </c>
      <c r="H35" s="858">
        <v>22.75</v>
      </c>
      <c r="I35" s="920">
        <v>0.185</v>
      </c>
      <c r="J35" s="813"/>
      <c r="K35" s="485" t="str">
        <f t="shared" si="1"/>
        <v>KPOP-185HC</v>
      </c>
      <c r="L35" s="855" t="s">
        <v>594</v>
      </c>
      <c r="M35" s="855">
        <v>50</v>
      </c>
      <c r="N35" s="920">
        <v>0.185</v>
      </c>
      <c r="O35" s="894"/>
      <c r="P35" s="907"/>
      <c r="Q35" s="894"/>
      <c r="R35" s="894"/>
      <c r="S35" s="959">
        <v>0.0033</v>
      </c>
      <c r="T35" s="961">
        <v>0.0062</v>
      </c>
      <c r="U35" s="957"/>
      <c r="V35" s="960"/>
    </row>
    <row r="36" s="527" customFormat="1" ht="21" customHeight="1" spans="1:22">
      <c r="A36" s="806"/>
      <c r="B36" s="807"/>
      <c r="C36" s="859" t="s">
        <v>2225</v>
      </c>
      <c r="D36" s="860" t="s">
        <v>1054</v>
      </c>
      <c r="E36" s="861" t="s">
        <v>9</v>
      </c>
      <c r="F36" s="815">
        <v>-0.016</v>
      </c>
      <c r="G36" s="812">
        <v>0.936138</v>
      </c>
      <c r="H36" s="813">
        <v>22.75</v>
      </c>
      <c r="I36" s="813">
        <f t="shared" si="0"/>
        <v>0.16</v>
      </c>
      <c r="J36" s="813"/>
      <c r="K36" s="485" t="str">
        <f t="shared" si="1"/>
        <v>HJB5022I-3</v>
      </c>
      <c r="L36" s="894">
        <v>0.3</v>
      </c>
      <c r="M36" s="894">
        <v>50</v>
      </c>
      <c r="N36" s="894">
        <v>0.16</v>
      </c>
      <c r="O36" s="894"/>
      <c r="P36" s="907"/>
      <c r="Q36" s="894"/>
      <c r="R36" s="894"/>
      <c r="S36" s="898">
        <v>0.0018</v>
      </c>
      <c r="T36" s="898">
        <v>0.0024</v>
      </c>
      <c r="U36" s="962" t="s">
        <v>2226</v>
      </c>
      <c r="V36" s="963" t="s">
        <v>1280</v>
      </c>
    </row>
    <row r="37" s="527" customFormat="1" ht="21" customHeight="1" spans="1:22">
      <c r="A37" s="806"/>
      <c r="B37" s="807"/>
      <c r="C37" s="862" t="s">
        <v>2227</v>
      </c>
      <c r="D37" s="863" t="s">
        <v>2228</v>
      </c>
      <c r="E37" s="864" t="s">
        <v>12</v>
      </c>
      <c r="F37" s="815">
        <v>-0.0373</v>
      </c>
      <c r="G37" s="812">
        <v>1.034</v>
      </c>
      <c r="H37" s="813">
        <v>24</v>
      </c>
      <c r="I37" s="813">
        <f t="shared" si="0"/>
        <v>0.185</v>
      </c>
      <c r="J37" s="813"/>
      <c r="K37" s="485" t="str">
        <f t="shared" si="1"/>
        <v>DIA-E180A</v>
      </c>
      <c r="L37" s="894">
        <v>0.03</v>
      </c>
      <c r="M37" s="894">
        <v>50</v>
      </c>
      <c r="N37" s="894">
        <v>0.185</v>
      </c>
      <c r="O37" s="894"/>
      <c r="P37" s="907"/>
      <c r="Q37" s="894"/>
      <c r="R37" s="894"/>
      <c r="S37" s="950">
        <v>0.0037</v>
      </c>
      <c r="T37" s="950">
        <v>0.0062</v>
      </c>
      <c r="U37" s="957" t="s">
        <v>2229</v>
      </c>
      <c r="V37" s="958" t="s">
        <v>1280</v>
      </c>
    </row>
    <row r="38" s="527" customFormat="1" ht="42" customHeight="1" spans="1:22">
      <c r="A38" s="840"/>
      <c r="B38" s="865" t="s">
        <v>2230</v>
      </c>
      <c r="C38" s="866" t="s">
        <v>2010</v>
      </c>
      <c r="D38" s="867" t="s">
        <v>2210</v>
      </c>
      <c r="E38" s="844" t="s">
        <v>12</v>
      </c>
      <c r="F38" s="868">
        <v>-0.0313</v>
      </c>
      <c r="G38" s="869">
        <v>1.0562</v>
      </c>
      <c r="H38" s="847">
        <v>23.75</v>
      </c>
      <c r="I38" s="847">
        <f t="shared" si="0"/>
        <v>0.138</v>
      </c>
      <c r="J38" s="847"/>
      <c r="K38" s="916" t="str">
        <f t="shared" si="1"/>
        <v>XLAS131WJM5(50L)</v>
      </c>
      <c r="L38" s="916">
        <v>0.03</v>
      </c>
      <c r="M38" s="916">
        <v>50</v>
      </c>
      <c r="N38" s="916">
        <v>0.138</v>
      </c>
      <c r="O38" s="916"/>
      <c r="P38" s="918"/>
      <c r="Q38" s="916"/>
      <c r="R38" s="916"/>
      <c r="S38" s="954">
        <v>0.0019</v>
      </c>
      <c r="T38" s="954">
        <v>0.0026</v>
      </c>
      <c r="U38" s="964" t="s">
        <v>2220</v>
      </c>
      <c r="V38" s="956"/>
    </row>
    <row r="39" s="528" customFormat="1" ht="21" customHeight="1" spans="1:22">
      <c r="A39" s="870"/>
      <c r="B39" s="871"/>
      <c r="C39" s="872"/>
      <c r="D39" s="872"/>
      <c r="E39" s="873"/>
      <c r="F39" s="874"/>
      <c r="G39" s="875"/>
      <c r="H39" s="876"/>
      <c r="I39" s="921"/>
      <c r="J39" s="876"/>
      <c r="K39" s="922"/>
      <c r="L39" s="922"/>
      <c r="M39" s="922"/>
      <c r="N39" s="922"/>
      <c r="O39" s="922"/>
      <c r="P39" s="923"/>
      <c r="Q39" s="965"/>
      <c r="R39" s="965"/>
      <c r="S39" s="966"/>
      <c r="T39" s="967"/>
      <c r="U39" s="967"/>
      <c r="V39" s="967"/>
    </row>
    <row r="40" s="528" customFormat="1" ht="21" customHeight="1" spans="1:22">
      <c r="A40" s="877"/>
      <c r="B40" s="862"/>
      <c r="C40" s="878"/>
      <c r="D40" s="878"/>
      <c r="E40" s="879"/>
      <c r="F40" s="815"/>
      <c r="G40" s="812"/>
      <c r="H40" s="813"/>
      <c r="I40" s="813"/>
      <c r="J40" s="813"/>
      <c r="K40" s="894"/>
      <c r="L40" s="894"/>
      <c r="M40" s="894"/>
      <c r="N40" s="894"/>
      <c r="O40" s="894"/>
      <c r="P40" s="907"/>
      <c r="Q40" s="251"/>
      <c r="R40" s="251"/>
      <c r="S40" s="950"/>
      <c r="T40" s="811"/>
      <c r="U40" s="811"/>
      <c r="V40" s="811"/>
    </row>
    <row r="41" ht="17.4" spans="2:20">
      <c r="B41" s="880"/>
      <c r="C41" s="880"/>
      <c r="D41" s="880"/>
      <c r="E41" s="881"/>
      <c r="F41" s="881"/>
      <c r="G41" s="882"/>
      <c r="H41" s="882"/>
      <c r="I41" s="882"/>
      <c r="J41" s="882"/>
      <c r="K41" s="881"/>
      <c r="L41" s="881"/>
      <c r="M41" s="881"/>
      <c r="N41" s="881"/>
      <c r="O41" s="881"/>
      <c r="P41" s="881"/>
      <c r="Q41" s="881"/>
      <c r="R41" s="881"/>
      <c r="S41" s="881"/>
      <c r="T41" s="881"/>
    </row>
    <row r="42" s="783" customFormat="1" ht="66" customHeight="1" spans="2:29">
      <c r="B42" s="883" t="s">
        <v>2231</v>
      </c>
      <c r="C42" s="883"/>
      <c r="D42" s="883"/>
      <c r="E42" s="883"/>
      <c r="F42" s="883"/>
      <c r="G42" s="883"/>
      <c r="H42" s="883"/>
      <c r="I42" s="883"/>
      <c r="J42" s="883"/>
      <c r="K42" s="883"/>
      <c r="L42" s="883"/>
      <c r="M42" s="883"/>
      <c r="N42" s="883"/>
      <c r="O42" s="883"/>
      <c r="P42" s="883"/>
      <c r="Q42" s="883"/>
      <c r="R42" s="883"/>
      <c r="S42" s="883"/>
      <c r="U42"/>
      <c r="V42"/>
      <c r="W42"/>
      <c r="X42"/>
      <c r="Y42"/>
      <c r="Z42"/>
      <c r="AA42"/>
      <c r="AB42"/>
      <c r="AC42"/>
    </row>
    <row r="43" s="783" customFormat="1" ht="54" customHeight="1" spans="2:29">
      <c r="B43" s="883"/>
      <c r="C43" s="883"/>
      <c r="D43" s="883"/>
      <c r="E43" s="883"/>
      <c r="F43" s="883"/>
      <c r="G43" s="883"/>
      <c r="H43" s="883"/>
      <c r="I43" s="883"/>
      <c r="J43" s="883"/>
      <c r="K43" s="883"/>
      <c r="L43" s="883"/>
      <c r="M43" s="883"/>
      <c r="N43" s="883"/>
      <c r="O43" s="883"/>
      <c r="P43" s="883"/>
      <c r="Q43" s="883"/>
      <c r="R43" s="883"/>
      <c r="S43" s="883"/>
      <c r="U43"/>
      <c r="V43"/>
      <c r="W43"/>
      <c r="X43"/>
      <c r="Y43"/>
      <c r="Z43"/>
      <c r="AA43"/>
      <c r="AB43"/>
      <c r="AC43"/>
    </row>
    <row r="44" s="783" customFormat="1" ht="70.5" customHeight="1" spans="2:29">
      <c r="B44" s="883"/>
      <c r="C44" s="883"/>
      <c r="D44" s="883"/>
      <c r="E44" s="883"/>
      <c r="F44" s="883"/>
      <c r="G44" s="883"/>
      <c r="H44" s="883"/>
      <c r="I44" s="883"/>
      <c r="J44" s="883"/>
      <c r="K44" s="883"/>
      <c r="L44" s="883"/>
      <c r="M44" s="883"/>
      <c r="N44" s="883"/>
      <c r="O44" s="883"/>
      <c r="P44" s="883"/>
      <c r="Q44" s="883"/>
      <c r="R44" s="883"/>
      <c r="S44" s="883"/>
      <c r="U44"/>
      <c r="V44"/>
      <c r="W44"/>
      <c r="X44"/>
      <c r="Y44"/>
      <c r="Z44"/>
      <c r="AA44"/>
      <c r="AB44"/>
      <c r="AC44"/>
    </row>
    <row r="45" s="783" customFormat="1" ht="17.4" spans="2:29">
      <c r="B45" s="883"/>
      <c r="C45" s="883"/>
      <c r="D45" s="883"/>
      <c r="E45" s="883"/>
      <c r="F45" s="883"/>
      <c r="G45" s="883"/>
      <c r="H45" s="883"/>
      <c r="I45" s="883"/>
      <c r="J45" s="883"/>
      <c r="K45" s="883"/>
      <c r="L45" s="883"/>
      <c r="M45" s="883"/>
      <c r="N45" s="883"/>
      <c r="O45" s="883"/>
      <c r="P45" s="883"/>
      <c r="Q45" s="883"/>
      <c r="R45" s="883"/>
      <c r="S45" s="883"/>
      <c r="U45"/>
      <c r="V45"/>
      <c r="W45"/>
      <c r="X45"/>
      <c r="Y45"/>
      <c r="Z45"/>
      <c r="AA45"/>
      <c r="AB45"/>
      <c r="AC45"/>
    </row>
    <row r="46" s="783" customFormat="1" ht="17.4" spans="2:29">
      <c r="B46" s="883"/>
      <c r="C46" s="883"/>
      <c r="D46" s="883"/>
      <c r="E46" s="883"/>
      <c r="F46" s="883"/>
      <c r="G46" s="883"/>
      <c r="H46" s="883"/>
      <c r="I46" s="883"/>
      <c r="J46" s="883"/>
      <c r="K46" s="883"/>
      <c r="L46" s="883"/>
      <c r="M46" s="883"/>
      <c r="N46" s="883"/>
      <c r="O46" s="883"/>
      <c r="P46" s="883"/>
      <c r="Q46" s="883"/>
      <c r="R46" s="883"/>
      <c r="S46" s="883"/>
      <c r="U46"/>
      <c r="V46"/>
      <c r="W46"/>
      <c r="X46"/>
      <c r="Y46"/>
      <c r="Z46"/>
      <c r="AA46"/>
      <c r="AB46"/>
      <c r="AC46"/>
    </row>
    <row r="54" ht="43.2" spans="3:4">
      <c r="C54" s="884" t="s">
        <v>2232</v>
      </c>
      <c r="D54" s="885"/>
    </row>
    <row r="55" ht="43.2" spans="3:4">
      <c r="C55" s="884" t="s">
        <v>2233</v>
      </c>
      <c r="D55" s="885"/>
    </row>
    <row r="56" ht="43.2" spans="3:4">
      <c r="C56" s="884" t="s">
        <v>2234</v>
      </c>
      <c r="D56" s="885"/>
    </row>
    <row r="57" ht="100.8" spans="3:4">
      <c r="C57" s="884" t="s">
        <v>2235</v>
      </c>
      <c r="D57" s="885"/>
    </row>
    <row r="58" ht="43.2" spans="3:4">
      <c r="C58" s="884" t="s">
        <v>2236</v>
      </c>
      <c r="D58" s="885"/>
    </row>
    <row r="59" ht="43.2" spans="3:4">
      <c r="C59" s="884" t="s">
        <v>2237</v>
      </c>
      <c r="D59" s="885"/>
    </row>
    <row r="60" ht="43.2" spans="3:4">
      <c r="C60" s="884" t="s">
        <v>2238</v>
      </c>
      <c r="D60" s="885"/>
    </row>
    <row r="61" ht="43.2" spans="3:4">
      <c r="C61" s="884" t="s">
        <v>2238</v>
      </c>
      <c r="D61" s="885"/>
    </row>
    <row r="62" ht="43.2" spans="3:4">
      <c r="C62" s="884" t="s">
        <v>2239</v>
      </c>
      <c r="D62" s="885"/>
    </row>
  </sheetData>
  <autoFilter ref="A2:AC38">
    <extLst/>
  </autoFilter>
  <mergeCells count="7">
    <mergeCell ref="A3:A29"/>
    <mergeCell ref="A30:A38"/>
    <mergeCell ref="B3:B15"/>
    <mergeCell ref="B16:B22"/>
    <mergeCell ref="B23:B29"/>
    <mergeCell ref="B30:B37"/>
    <mergeCell ref="U12:U13"/>
  </mergeCells>
  <pageMargins left="0.7" right="0.7" top="0.75" bottom="0.75" header="0.3" footer="0.3"/>
  <pageSetup paperSize="9" orientation="portrait"/>
  <headerFooter/>
  <drawing r:id="rId1"/>
  <picture r:id="rId2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1"/>
  <dimension ref="A1:M28"/>
  <sheetViews>
    <sheetView zoomScale="85" zoomScaleNormal="85" workbookViewId="0">
      <selection activeCell="G2" sqref="G2:G18"/>
    </sheetView>
  </sheetViews>
  <sheetFormatPr defaultColWidth="9" defaultRowHeight="14.4"/>
  <cols>
    <col min="1" max="1" width="9.22222222222222" customWidth="1"/>
    <col min="2" max="2" width="12.3333333333333" customWidth="1"/>
    <col min="3" max="3" width="14.7777777777778" customWidth="1"/>
    <col min="4" max="4" width="12.6666666666667" customWidth="1"/>
    <col min="5" max="5" width="14.1111111111111" customWidth="1"/>
    <col min="6" max="6" width="15.4444444444444" customWidth="1"/>
    <col min="7" max="7" width="18.7777777777778" customWidth="1"/>
    <col min="8" max="8" width="12.8888888888889" customWidth="1"/>
    <col min="9" max="9" width="10.1111111111111" customWidth="1"/>
    <col min="10" max="10" width="12" customWidth="1"/>
    <col min="11" max="11" width="29.4444444444444" customWidth="1"/>
    <col min="12" max="12" width="31" customWidth="1"/>
    <col min="13" max="13" width="13.2222222222222" customWidth="1"/>
  </cols>
  <sheetData>
    <row r="1" ht="17.4" spans="1:13">
      <c r="A1" s="750" t="s">
        <v>2084</v>
      </c>
      <c r="B1" s="750" t="s">
        <v>2085</v>
      </c>
      <c r="C1" s="750" t="s">
        <v>2086</v>
      </c>
      <c r="D1" s="750" t="s">
        <v>2089</v>
      </c>
      <c r="E1" s="750" t="s">
        <v>2088</v>
      </c>
      <c r="F1" s="750" t="s">
        <v>2090</v>
      </c>
      <c r="G1" s="607" t="s">
        <v>1087</v>
      </c>
      <c r="H1" s="607" t="s">
        <v>2092</v>
      </c>
      <c r="I1" s="607" t="s">
        <v>2093</v>
      </c>
      <c r="J1" s="750" t="s">
        <v>443</v>
      </c>
      <c r="K1" s="750" t="s">
        <v>2094</v>
      </c>
      <c r="L1" s="750" t="s">
        <v>113</v>
      </c>
      <c r="M1" s="750" t="s">
        <v>2095</v>
      </c>
    </row>
    <row r="2" s="748" customFormat="1" ht="33" customHeight="1" spans="1:13">
      <c r="A2" s="751" t="s">
        <v>2096</v>
      </c>
      <c r="B2" s="715" t="s">
        <v>1905</v>
      </c>
      <c r="C2" s="752">
        <v>0.095</v>
      </c>
      <c r="D2" s="753">
        <v>0.92</v>
      </c>
      <c r="E2" s="754">
        <v>0.918</v>
      </c>
      <c r="F2" s="705">
        <v>1</v>
      </c>
      <c r="G2" s="727">
        <v>2.5</v>
      </c>
      <c r="H2" s="755"/>
      <c r="I2" s="764"/>
      <c r="J2" s="771" t="s">
        <v>2096</v>
      </c>
      <c r="K2" s="772" t="s">
        <v>2240</v>
      </c>
      <c r="L2" s="773" t="s">
        <v>2241</v>
      </c>
      <c r="M2" s="774" t="s">
        <v>12</v>
      </c>
    </row>
    <row r="3" s="749" customFormat="1" ht="33" customHeight="1" spans="1:13">
      <c r="A3" s="756"/>
      <c r="B3" s="715" t="s">
        <v>2242</v>
      </c>
      <c r="C3" s="752">
        <v>0.095</v>
      </c>
      <c r="D3" s="754">
        <v>0.925</v>
      </c>
      <c r="E3" s="754">
        <v>0.917</v>
      </c>
      <c r="F3" s="705">
        <v>1.0083</v>
      </c>
      <c r="G3" s="727">
        <v>2</v>
      </c>
      <c r="H3" s="757"/>
      <c r="I3" s="764"/>
      <c r="J3" s="771" t="s">
        <v>2096</v>
      </c>
      <c r="K3" s="775"/>
      <c r="L3" s="773" t="s">
        <v>2243</v>
      </c>
      <c r="M3" s="774" t="s">
        <v>12</v>
      </c>
    </row>
    <row r="4" s="748" customFormat="1" ht="15.6" spans="1:13">
      <c r="A4" s="756"/>
      <c r="B4" s="715" t="s">
        <v>2037</v>
      </c>
      <c r="C4" s="752">
        <v>0.125</v>
      </c>
      <c r="D4" s="754">
        <v>0.773</v>
      </c>
      <c r="E4" s="754">
        <v>0.951</v>
      </c>
      <c r="F4" s="705">
        <v>0.9701</v>
      </c>
      <c r="G4" s="727">
        <v>1</v>
      </c>
      <c r="H4" s="757"/>
      <c r="I4" s="764"/>
      <c r="J4" s="771" t="s">
        <v>2096</v>
      </c>
      <c r="K4" s="775"/>
      <c r="L4" s="715"/>
      <c r="M4" s="774" t="s">
        <v>12</v>
      </c>
    </row>
    <row r="5" s="748" customFormat="1" ht="15.6" spans="1:13">
      <c r="A5" s="756"/>
      <c r="B5" s="715" t="s">
        <v>1954</v>
      </c>
      <c r="C5" s="752">
        <v>0.13</v>
      </c>
      <c r="D5" s="754">
        <v>0.756</v>
      </c>
      <c r="E5" s="754">
        <v>0.95</v>
      </c>
      <c r="F5" s="758" t="s">
        <v>2244</v>
      </c>
      <c r="G5" s="727">
        <v>1.25</v>
      </c>
      <c r="H5" s="757"/>
      <c r="I5" s="764"/>
      <c r="J5" s="771" t="s">
        <v>2096</v>
      </c>
      <c r="K5" s="775"/>
      <c r="L5" s="715"/>
      <c r="M5" s="774" t="s">
        <v>12</v>
      </c>
    </row>
    <row r="6" s="748" customFormat="1" ht="15.6" spans="1:13">
      <c r="A6" s="756"/>
      <c r="B6" s="715" t="s">
        <v>2068</v>
      </c>
      <c r="C6" s="752">
        <v>0.065</v>
      </c>
      <c r="D6" s="753">
        <v>0.92</v>
      </c>
      <c r="E6" s="754">
        <v>0.929</v>
      </c>
      <c r="F6" s="705">
        <v>1.0027</v>
      </c>
      <c r="G6" s="727">
        <v>3</v>
      </c>
      <c r="H6" s="757"/>
      <c r="I6" s="764"/>
      <c r="J6" s="771" t="s">
        <v>2096</v>
      </c>
      <c r="K6" s="775"/>
      <c r="L6" s="715"/>
      <c r="M6" s="774" t="s">
        <v>12</v>
      </c>
    </row>
    <row r="7" s="748" customFormat="1" ht="15.6" spans="1:13">
      <c r="A7" s="756"/>
      <c r="B7" s="715" t="s">
        <v>1962</v>
      </c>
      <c r="C7" s="752">
        <v>0.055</v>
      </c>
      <c r="D7" s="723">
        <v>0.925</v>
      </c>
      <c r="E7" s="754">
        <v>0.921</v>
      </c>
      <c r="F7" s="705">
        <v>1.004</v>
      </c>
      <c r="G7" s="727">
        <v>3.75</v>
      </c>
      <c r="H7" s="757"/>
      <c r="I7" s="764"/>
      <c r="J7" s="771" t="s">
        <v>2096</v>
      </c>
      <c r="K7" s="775"/>
      <c r="L7" s="715"/>
      <c r="M7" s="774" t="s">
        <v>12</v>
      </c>
    </row>
    <row r="8" s="748" customFormat="1" ht="15.6" spans="1:13">
      <c r="A8" s="756"/>
      <c r="B8" s="715" t="s">
        <v>2245</v>
      </c>
      <c r="C8" s="752">
        <v>0.095</v>
      </c>
      <c r="D8" s="754">
        <v>0.921</v>
      </c>
      <c r="E8" s="754" t="s">
        <v>2246</v>
      </c>
      <c r="F8" s="705">
        <v>1.0034</v>
      </c>
      <c r="G8" s="727">
        <v>1.25</v>
      </c>
      <c r="H8" s="759"/>
      <c r="I8" s="764"/>
      <c r="J8" s="771" t="s">
        <v>2096</v>
      </c>
      <c r="K8" s="775"/>
      <c r="L8" s="715" t="s">
        <v>2247</v>
      </c>
      <c r="M8" s="774" t="s">
        <v>12</v>
      </c>
    </row>
    <row r="9" s="748" customFormat="1" ht="15.6" spans="1:13">
      <c r="A9" s="760" t="s">
        <v>2118</v>
      </c>
      <c r="B9" s="715" t="s">
        <v>2248</v>
      </c>
      <c r="C9" s="752">
        <v>0.125</v>
      </c>
      <c r="D9" s="753">
        <v>0.9</v>
      </c>
      <c r="E9" s="753">
        <v>0.88</v>
      </c>
      <c r="F9" s="705">
        <v>0.9804</v>
      </c>
      <c r="G9" s="727">
        <v>1</v>
      </c>
      <c r="H9" s="761"/>
      <c r="I9" s="764"/>
      <c r="J9" s="771" t="s">
        <v>2118</v>
      </c>
      <c r="K9" s="772" t="s">
        <v>2249</v>
      </c>
      <c r="L9" s="715" t="s">
        <v>2250</v>
      </c>
      <c r="M9" s="774" t="s">
        <v>12</v>
      </c>
    </row>
    <row r="10" s="748" customFormat="1" ht="46.8" spans="1:13">
      <c r="A10" s="762"/>
      <c r="B10" s="715" t="s">
        <v>2251</v>
      </c>
      <c r="C10" s="752">
        <v>0.125</v>
      </c>
      <c r="D10" s="753">
        <v>0.83</v>
      </c>
      <c r="E10" s="753">
        <v>0.92</v>
      </c>
      <c r="F10" s="705">
        <v>0.9745</v>
      </c>
      <c r="G10" s="727">
        <v>1</v>
      </c>
      <c r="H10" s="761"/>
      <c r="I10" s="764"/>
      <c r="J10" s="771" t="s">
        <v>2118</v>
      </c>
      <c r="K10" s="775"/>
      <c r="L10" s="773" t="s">
        <v>2252</v>
      </c>
      <c r="M10" s="774" t="s">
        <v>12</v>
      </c>
    </row>
    <row r="11" s="748" customFormat="1" ht="31.2" spans="1:13">
      <c r="A11" s="762"/>
      <c r="B11" s="715" t="s">
        <v>2253</v>
      </c>
      <c r="C11" s="752">
        <v>0.125</v>
      </c>
      <c r="D11" s="753">
        <v>0.83</v>
      </c>
      <c r="E11" s="753">
        <v>0.94</v>
      </c>
      <c r="F11" s="705">
        <v>0.9109</v>
      </c>
      <c r="G11" s="727" t="s">
        <v>2101</v>
      </c>
      <c r="H11" s="761"/>
      <c r="I11" s="764"/>
      <c r="J11" s="771" t="s">
        <v>2118</v>
      </c>
      <c r="K11" s="775"/>
      <c r="L11" s="773" t="s">
        <v>2254</v>
      </c>
      <c r="M11" s="774" t="s">
        <v>12</v>
      </c>
    </row>
    <row r="12" s="748" customFormat="1" ht="31.2" spans="1:13">
      <c r="A12" s="762"/>
      <c r="B12" s="715" t="s">
        <v>2255</v>
      </c>
      <c r="C12" s="752">
        <v>0.095</v>
      </c>
      <c r="D12" s="753">
        <v>0.93</v>
      </c>
      <c r="E12" s="753">
        <v>0.88</v>
      </c>
      <c r="F12" s="705">
        <v>0.9748</v>
      </c>
      <c r="G12" s="727">
        <v>1.25</v>
      </c>
      <c r="H12" s="761"/>
      <c r="I12" s="715"/>
      <c r="J12" s="771" t="s">
        <v>2118</v>
      </c>
      <c r="K12" s="775"/>
      <c r="L12" s="773" t="s">
        <v>2256</v>
      </c>
      <c r="M12" s="774" t="s">
        <v>12</v>
      </c>
    </row>
    <row r="13" s="748" customFormat="1" ht="15.6" spans="1:13">
      <c r="A13" s="762"/>
      <c r="B13" s="715" t="s">
        <v>1941</v>
      </c>
      <c r="C13" s="752">
        <v>0.125</v>
      </c>
      <c r="D13" s="753">
        <v>0.83</v>
      </c>
      <c r="E13" s="723">
        <v>0.925</v>
      </c>
      <c r="F13" s="705">
        <v>0.9712</v>
      </c>
      <c r="G13" s="727">
        <v>1.25</v>
      </c>
      <c r="H13" s="761"/>
      <c r="I13" s="764"/>
      <c r="J13" s="771" t="s">
        <v>2118</v>
      </c>
      <c r="K13" s="775"/>
      <c r="L13" s="776" t="s">
        <v>2257</v>
      </c>
      <c r="M13" s="774" t="s">
        <v>12</v>
      </c>
    </row>
    <row r="14" s="748" customFormat="1" ht="15.6" spans="1:13">
      <c r="A14" s="762"/>
      <c r="B14" s="715" t="s">
        <v>2258</v>
      </c>
      <c r="C14" s="752">
        <v>0.095</v>
      </c>
      <c r="D14" s="753">
        <v>0.83</v>
      </c>
      <c r="E14" s="723">
        <v>0.925</v>
      </c>
      <c r="F14" s="705">
        <v>0.9668</v>
      </c>
      <c r="G14" s="727">
        <v>1.25</v>
      </c>
      <c r="H14" s="763"/>
      <c r="I14" s="715"/>
      <c r="J14" s="771" t="s">
        <v>2118</v>
      </c>
      <c r="K14" s="775"/>
      <c r="L14" s="776" t="s">
        <v>2257</v>
      </c>
      <c r="M14" s="774" t="s">
        <v>12</v>
      </c>
    </row>
    <row r="15" s="749" customFormat="1" ht="46.8" spans="1:13">
      <c r="A15" s="762"/>
      <c r="B15" s="715" t="s">
        <v>2259</v>
      </c>
      <c r="C15" s="752">
        <v>0.095</v>
      </c>
      <c r="D15" s="753">
        <v>0.93</v>
      </c>
      <c r="E15" s="753">
        <v>0.89</v>
      </c>
      <c r="F15" s="705">
        <v>0.9948</v>
      </c>
      <c r="G15" s="727">
        <v>2.25</v>
      </c>
      <c r="H15" s="715"/>
      <c r="I15" s="773"/>
      <c r="J15" s="771" t="s">
        <v>2118</v>
      </c>
      <c r="K15" s="775"/>
      <c r="L15" s="773" t="s">
        <v>2260</v>
      </c>
      <c r="M15" s="774" t="s">
        <v>12</v>
      </c>
    </row>
    <row r="16" s="748" customFormat="1" ht="15.6" spans="1:13">
      <c r="A16" s="762"/>
      <c r="B16" s="715" t="s">
        <v>2261</v>
      </c>
      <c r="C16" s="752">
        <v>0.062</v>
      </c>
      <c r="D16" s="753">
        <v>0.9643</v>
      </c>
      <c r="E16" s="753">
        <v>0.9069</v>
      </c>
      <c r="F16" s="705">
        <v>0.9928</v>
      </c>
      <c r="G16" s="727" t="s">
        <v>2101</v>
      </c>
      <c r="H16" s="764"/>
      <c r="I16" s="764"/>
      <c r="J16" s="771" t="s">
        <v>2118</v>
      </c>
      <c r="K16" s="777"/>
      <c r="L16" s="773"/>
      <c r="M16" s="778" t="s">
        <v>9</v>
      </c>
    </row>
    <row r="17" s="748" customFormat="1" ht="27" customHeight="1" spans="1:13">
      <c r="A17" s="765" t="s">
        <v>2262</v>
      </c>
      <c r="B17" s="715" t="s">
        <v>2263</v>
      </c>
      <c r="C17" s="715">
        <v>0.096</v>
      </c>
      <c r="D17" s="753">
        <v>0.895</v>
      </c>
      <c r="E17" s="753">
        <v>0.27</v>
      </c>
      <c r="F17" s="705">
        <v>1.07</v>
      </c>
      <c r="G17" s="727">
        <v>13.75</v>
      </c>
      <c r="H17" s="759"/>
      <c r="I17" s="715"/>
      <c r="J17" s="779" t="s">
        <v>2262</v>
      </c>
      <c r="K17" s="773" t="s">
        <v>2264</v>
      </c>
      <c r="L17" s="780" t="s">
        <v>2265</v>
      </c>
      <c r="M17" s="774" t="s">
        <v>12</v>
      </c>
    </row>
    <row r="18" s="748" customFormat="1" ht="27" customHeight="1" spans="1:13">
      <c r="A18" s="766" t="s">
        <v>2266</v>
      </c>
      <c r="B18" s="715" t="s">
        <v>866</v>
      </c>
      <c r="C18" s="715">
        <v>0.058</v>
      </c>
      <c r="D18" s="753">
        <v>0.9</v>
      </c>
      <c r="E18" s="753">
        <v>0.92</v>
      </c>
      <c r="F18" s="705">
        <v>0.9946</v>
      </c>
      <c r="G18" s="727">
        <v>2.5</v>
      </c>
      <c r="H18" s="764"/>
      <c r="I18" s="715"/>
      <c r="J18" s="779" t="s">
        <v>2266</v>
      </c>
      <c r="K18" s="773" t="s">
        <v>2267</v>
      </c>
      <c r="L18" s="780"/>
      <c r="M18" s="773" t="s">
        <v>9</v>
      </c>
    </row>
    <row r="19" ht="15.6" spans="1:13">
      <c r="A19" s="767"/>
      <c r="B19" s="768"/>
      <c r="C19" s="768"/>
      <c r="D19" s="767"/>
      <c r="E19" s="767"/>
      <c r="F19" s="768"/>
      <c r="G19" s="768"/>
      <c r="H19" s="768"/>
      <c r="I19" s="768"/>
      <c r="J19" s="767"/>
      <c r="K19" s="767"/>
      <c r="L19" s="767"/>
      <c r="M19" s="781"/>
    </row>
    <row r="20" ht="18" customHeight="1" spans="1:13">
      <c r="A20" s="769" t="s">
        <v>2121</v>
      </c>
      <c r="B20" s="770" t="s">
        <v>2268</v>
      </c>
      <c r="C20" s="770"/>
      <c r="D20" s="770"/>
      <c r="E20" s="770"/>
      <c r="F20" s="770"/>
      <c r="G20" s="770"/>
      <c r="H20" s="770"/>
      <c r="I20" s="770"/>
      <c r="J20" s="770"/>
      <c r="K20" s="770"/>
      <c r="L20" s="770"/>
      <c r="M20" s="781"/>
    </row>
    <row r="21" ht="18" customHeight="1" spans="1:13">
      <c r="A21" s="769"/>
      <c r="B21" s="770"/>
      <c r="C21" s="770"/>
      <c r="D21" s="770"/>
      <c r="E21" s="770"/>
      <c r="F21" s="770"/>
      <c r="G21" s="770"/>
      <c r="H21" s="770"/>
      <c r="I21" s="770"/>
      <c r="J21" s="770"/>
      <c r="K21" s="770"/>
      <c r="L21" s="770"/>
      <c r="M21" s="781"/>
    </row>
    <row r="22" ht="18" customHeight="1" spans="1:13">
      <c r="A22" s="769"/>
      <c r="B22" s="770"/>
      <c r="C22" s="770"/>
      <c r="D22" s="770"/>
      <c r="E22" s="770"/>
      <c r="F22" s="770"/>
      <c r="G22" s="770"/>
      <c r="H22" s="770"/>
      <c r="I22" s="770"/>
      <c r="J22" s="770"/>
      <c r="K22" s="770"/>
      <c r="L22" s="770"/>
      <c r="M22" s="781"/>
    </row>
    <row r="23" ht="18" customHeight="1" spans="1:13">
      <c r="A23" s="769"/>
      <c r="B23" s="770"/>
      <c r="C23" s="770"/>
      <c r="D23" s="770"/>
      <c r="E23" s="770"/>
      <c r="F23" s="770"/>
      <c r="G23" s="770"/>
      <c r="H23" s="770"/>
      <c r="I23" s="770"/>
      <c r="J23" s="770"/>
      <c r="K23" s="770"/>
      <c r="L23" s="770"/>
      <c r="M23" s="781"/>
    </row>
    <row r="25" spans="1:13">
      <c r="A25" s="769" t="s">
        <v>2269</v>
      </c>
      <c r="B25" s="770" t="s">
        <v>2270</v>
      </c>
      <c r="C25" s="770"/>
      <c r="D25" s="770"/>
      <c r="E25" s="770"/>
      <c r="F25" s="770"/>
      <c r="G25" s="770"/>
      <c r="H25" s="770"/>
      <c r="I25" s="770"/>
      <c r="J25" s="770"/>
      <c r="K25" s="770"/>
      <c r="L25" s="770"/>
      <c r="M25" s="781"/>
    </row>
    <row r="26" spans="1:13">
      <c r="A26" s="769"/>
      <c r="B26" s="770"/>
      <c r="C26" s="770"/>
      <c r="D26" s="770"/>
      <c r="E26" s="770"/>
      <c r="F26" s="770"/>
      <c r="G26" s="770"/>
      <c r="H26" s="770"/>
      <c r="I26" s="770"/>
      <c r="J26" s="770"/>
      <c r="K26" s="770"/>
      <c r="L26" s="770"/>
      <c r="M26" s="781"/>
    </row>
    <row r="27" spans="1:13">
      <c r="A27" s="769"/>
      <c r="B27" s="770"/>
      <c r="C27" s="770"/>
      <c r="D27" s="770"/>
      <c r="E27" s="770"/>
      <c r="F27" s="770"/>
      <c r="G27" s="770"/>
      <c r="H27" s="770"/>
      <c r="I27" s="770"/>
      <c r="J27" s="770"/>
      <c r="K27" s="770"/>
      <c r="L27" s="770"/>
      <c r="M27" s="781"/>
    </row>
    <row r="28" spans="1:13">
      <c r="A28" s="769"/>
      <c r="B28" s="770"/>
      <c r="C28" s="770"/>
      <c r="D28" s="770"/>
      <c r="E28" s="770"/>
      <c r="F28" s="770"/>
      <c r="G28" s="770"/>
      <c r="H28" s="770"/>
      <c r="I28" s="770"/>
      <c r="J28" s="770"/>
      <c r="K28" s="770"/>
      <c r="L28" s="770"/>
      <c r="M28" s="781"/>
    </row>
  </sheetData>
  <mergeCells count="10">
    <mergeCell ref="A2:A8"/>
    <mergeCell ref="A9:A15"/>
    <mergeCell ref="A20:A23"/>
    <mergeCell ref="A25:A28"/>
    <mergeCell ref="H2:H8"/>
    <mergeCell ref="H9:H14"/>
    <mergeCell ref="K2:K8"/>
    <mergeCell ref="K9:K16"/>
    <mergeCell ref="B25:L28"/>
    <mergeCell ref="B20:L23"/>
  </mergeCell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1"/>
  <dimension ref="A1:K191"/>
  <sheetViews>
    <sheetView zoomScale="80" zoomScaleNormal="80" topLeftCell="A85" workbookViewId="0">
      <selection activeCell="F106" sqref="F106"/>
    </sheetView>
  </sheetViews>
  <sheetFormatPr defaultColWidth="7.88888888888889" defaultRowHeight="13.8"/>
  <cols>
    <col min="1" max="1" width="14.2222222222222" style="2681" customWidth="1"/>
    <col min="2" max="2" width="23" style="2681" customWidth="1"/>
    <col min="3" max="3" width="48.7777777777778" style="2681" customWidth="1"/>
    <col min="4" max="4" width="9" style="2682" customWidth="1"/>
    <col min="5" max="16384" width="7.88888888888889" style="2681"/>
  </cols>
  <sheetData>
    <row r="1" spans="1:10">
      <c r="A1" s="2681" t="s">
        <v>114</v>
      </c>
      <c r="B1" s="2681" t="s">
        <v>115</v>
      </c>
      <c r="C1" s="2681" t="s">
        <v>116</v>
      </c>
      <c r="D1" s="2683" t="s">
        <v>117</v>
      </c>
      <c r="E1" s="2681" t="s">
        <v>118</v>
      </c>
      <c r="F1" s="2681" t="s">
        <v>119</v>
      </c>
      <c r="G1" s="2681" t="s">
        <v>4</v>
      </c>
      <c r="H1" s="2681" t="s">
        <v>120</v>
      </c>
      <c r="I1" s="2681" t="s">
        <v>121</v>
      </c>
      <c r="J1" s="2681" t="s">
        <v>122</v>
      </c>
    </row>
    <row r="2" spans="2:8">
      <c r="B2" s="2684" t="s">
        <v>123</v>
      </c>
      <c r="C2" s="2684">
        <f>亮度與BLU功耗!E37</f>
        <v>344.22</v>
      </c>
      <c r="D2" s="2681">
        <f>C2</f>
        <v>344.22</v>
      </c>
      <c r="G2" s="2681" t="s">
        <v>14</v>
      </c>
      <c r="H2" s="2681" t="s">
        <v>124</v>
      </c>
    </row>
    <row r="3" spans="2:8">
      <c r="B3" s="2684" t="s">
        <v>125</v>
      </c>
      <c r="C3" s="2684">
        <f>亮度與BLU功耗!E38</f>
        <v>196.3</v>
      </c>
      <c r="D3" s="2681">
        <f t="shared" ref="D3:D10" si="0">C3</f>
        <v>196.3</v>
      </c>
      <c r="G3" s="2681" t="s">
        <v>14</v>
      </c>
      <c r="H3" s="2681" t="s">
        <v>124</v>
      </c>
    </row>
    <row r="4" spans="2:9">
      <c r="B4" s="2684" t="s">
        <v>126</v>
      </c>
      <c r="C4" s="2684">
        <f>Outline_X_and_Y!D4</f>
        <v>0.05</v>
      </c>
      <c r="D4" s="2681">
        <f t="shared" si="0"/>
        <v>0.05</v>
      </c>
      <c r="H4" s="2681" t="s">
        <v>124</v>
      </c>
      <c r="I4" s="2681" t="s">
        <v>127</v>
      </c>
    </row>
    <row r="5" spans="2:9">
      <c r="B5" s="2684" t="s">
        <v>128</v>
      </c>
      <c r="C5" s="2684">
        <f>Outline_X_and_Y!D6</f>
        <v>0.05</v>
      </c>
      <c r="D5" s="2681">
        <f t="shared" si="0"/>
        <v>0.05</v>
      </c>
      <c r="H5" s="2681" t="s">
        <v>124</v>
      </c>
      <c r="I5" s="2681" t="s">
        <v>129</v>
      </c>
    </row>
    <row r="6" spans="2:9">
      <c r="B6" s="2684" t="s">
        <v>130</v>
      </c>
      <c r="C6" s="2684">
        <f>Outline_X_and_Y!D8</f>
        <v>0.15</v>
      </c>
      <c r="D6" s="2681">
        <f t="shared" si="0"/>
        <v>0.15</v>
      </c>
      <c r="G6" s="2681" t="s">
        <v>14</v>
      </c>
      <c r="H6" s="2681" t="s">
        <v>124</v>
      </c>
      <c r="I6" s="2681" t="s">
        <v>131</v>
      </c>
    </row>
    <row r="7" spans="1:8">
      <c r="A7" s="2681" t="s">
        <v>132</v>
      </c>
      <c r="B7" s="2684" t="s">
        <v>133</v>
      </c>
      <c r="C7" s="2684">
        <f>'Thickness &amp; Weight'!C5</f>
        <v>0.119</v>
      </c>
      <c r="D7" s="2681">
        <f t="shared" si="0"/>
        <v>0.119</v>
      </c>
      <c r="H7" s="2681" t="s">
        <v>124</v>
      </c>
    </row>
    <row r="8" spans="1:8">
      <c r="A8" s="2681" t="s">
        <v>132</v>
      </c>
      <c r="B8" s="2684" t="s">
        <v>134</v>
      </c>
      <c r="C8" s="2684">
        <f>'Thickness &amp; Weight'!C6</f>
        <v>0.3</v>
      </c>
      <c r="D8" s="2681">
        <f t="shared" si="0"/>
        <v>0.3</v>
      </c>
      <c r="H8" s="2681" t="s">
        <v>124</v>
      </c>
    </row>
    <row r="9" spans="1:8">
      <c r="A9" s="2681" t="s">
        <v>132</v>
      </c>
      <c r="B9" s="2684" t="s">
        <v>135</v>
      </c>
      <c r="C9" s="2684">
        <f>'Thickness &amp; Weight'!C7</f>
        <v>0.3</v>
      </c>
      <c r="D9" s="2681">
        <f t="shared" si="0"/>
        <v>0.3</v>
      </c>
      <c r="H9" s="2681" t="s">
        <v>124</v>
      </c>
    </row>
    <row r="10" spans="1:8">
      <c r="A10" s="2681" t="s">
        <v>132</v>
      </c>
      <c r="B10" s="2684" t="s">
        <v>136</v>
      </c>
      <c r="C10" s="2684">
        <f>'Thickness &amp; Weight'!C8</f>
        <v>0.117</v>
      </c>
      <c r="D10" s="2681">
        <f t="shared" si="0"/>
        <v>0.117</v>
      </c>
      <c r="H10" s="2681" t="s">
        <v>124</v>
      </c>
    </row>
    <row r="11" spans="1:8">
      <c r="A11" s="2681" t="s">
        <v>132</v>
      </c>
      <c r="B11" s="2681" t="s">
        <v>137</v>
      </c>
      <c r="C11" s="2681" t="s">
        <v>138</v>
      </c>
      <c r="D11" s="2682">
        <f>C7+C8+C9+C10</f>
        <v>0.836</v>
      </c>
      <c r="H11" s="2681" t="s">
        <v>124</v>
      </c>
    </row>
    <row r="12" spans="1:8">
      <c r="A12" s="2681" t="s">
        <v>132</v>
      </c>
      <c r="B12" s="2684" t="s">
        <v>139</v>
      </c>
      <c r="C12" s="2684">
        <f>'Thickness &amp; Weight'!C9</f>
        <v>0.07</v>
      </c>
      <c r="D12" s="2681">
        <f>C12</f>
        <v>0.07</v>
      </c>
      <c r="H12" s="2681" t="s">
        <v>124</v>
      </c>
    </row>
    <row r="13" spans="1:8">
      <c r="A13" s="2681" t="s">
        <v>132</v>
      </c>
      <c r="B13" s="2684" t="s">
        <v>140</v>
      </c>
      <c r="C13" s="2684">
        <f>'Thickness &amp; Weight'!C10</f>
        <v>0.115</v>
      </c>
      <c r="D13" s="2681">
        <f t="shared" ref="D13:D16" si="1">C13</f>
        <v>0.115</v>
      </c>
      <c r="H13" s="2681" t="s">
        <v>124</v>
      </c>
    </row>
    <row r="14" spans="1:8">
      <c r="A14" s="2681" t="s">
        <v>132</v>
      </c>
      <c r="B14" s="2684" t="s">
        <v>141</v>
      </c>
      <c r="C14" s="2684">
        <f>'Thickness &amp; Weight'!C11</f>
        <v>0.157</v>
      </c>
      <c r="D14" s="2681">
        <f t="shared" si="1"/>
        <v>0.157</v>
      </c>
      <c r="H14" s="2681" t="s">
        <v>124</v>
      </c>
    </row>
    <row r="15" spans="1:8">
      <c r="A15" s="2681" t="s">
        <v>132</v>
      </c>
      <c r="B15" s="2684" t="s">
        <v>142</v>
      </c>
      <c r="C15" s="2684">
        <f>'Thickness &amp; Weight'!C12</f>
        <v>0.152</v>
      </c>
      <c r="D15" s="2681">
        <f t="shared" si="1"/>
        <v>0.152</v>
      </c>
      <c r="H15" s="2681" t="s">
        <v>124</v>
      </c>
    </row>
    <row r="16" spans="1:8">
      <c r="A16" s="2681" t="s">
        <v>132</v>
      </c>
      <c r="B16" s="2684" t="s">
        <v>143</v>
      </c>
      <c r="C16" s="2684">
        <f>'Thickness &amp; Weight'!C13</f>
        <v>0.058</v>
      </c>
      <c r="D16" s="2681">
        <f t="shared" si="1"/>
        <v>0.058</v>
      </c>
      <c r="H16" s="2681" t="s">
        <v>124</v>
      </c>
    </row>
    <row r="17" spans="1:8">
      <c r="A17" s="2681" t="s">
        <v>132</v>
      </c>
      <c r="B17" s="2681" t="s">
        <v>144</v>
      </c>
      <c r="C17" s="2681" t="s">
        <v>145</v>
      </c>
      <c r="D17" s="2682">
        <f>C13+C14+C15+C16</f>
        <v>0.482</v>
      </c>
      <c r="H17" s="2681" t="s">
        <v>124</v>
      </c>
    </row>
    <row r="18" spans="1:8">
      <c r="A18" s="2681" t="s">
        <v>132</v>
      </c>
      <c r="B18" s="2684" t="s">
        <v>85</v>
      </c>
      <c r="C18" s="2684">
        <f>亮度與BLU功耗!E34</f>
        <v>0.5</v>
      </c>
      <c r="D18" s="2681">
        <f>C18</f>
        <v>0.5</v>
      </c>
      <c r="H18" s="2681" t="s">
        <v>124</v>
      </c>
    </row>
    <row r="19" spans="1:8">
      <c r="A19" s="2681" t="s">
        <v>132</v>
      </c>
      <c r="B19" s="2684" t="s">
        <v>146</v>
      </c>
      <c r="C19" s="2684">
        <f>'Thickness &amp; Weight'!C15</f>
        <v>0.16</v>
      </c>
      <c r="D19" s="2681">
        <f t="shared" ref="D19:D27" si="2">C19</f>
        <v>0.16</v>
      </c>
      <c r="H19" s="2681" t="s">
        <v>124</v>
      </c>
    </row>
    <row r="20" spans="1:8">
      <c r="A20" s="2681" t="s">
        <v>132</v>
      </c>
      <c r="B20" s="2684" t="s">
        <v>147</v>
      </c>
      <c r="C20" s="2684">
        <f>'Thickness &amp; Weight'!C16</f>
        <v>0.03</v>
      </c>
      <c r="D20" s="2681">
        <f t="shared" si="2"/>
        <v>0.03</v>
      </c>
      <c r="G20" s="2681" t="s">
        <v>14</v>
      </c>
      <c r="H20" s="2681" t="s">
        <v>124</v>
      </c>
    </row>
    <row r="21" spans="1:8">
      <c r="A21" s="2681" t="s">
        <v>132</v>
      </c>
      <c r="B21" s="2684" t="s">
        <v>148</v>
      </c>
      <c r="C21" s="2684">
        <f>'Thickness &amp; Weight'!C17</f>
        <v>0.25</v>
      </c>
      <c r="D21" s="2681">
        <f t="shared" si="2"/>
        <v>0.25</v>
      </c>
      <c r="G21" s="2681" t="s">
        <v>14</v>
      </c>
      <c r="H21" s="2681" t="s">
        <v>124</v>
      </c>
    </row>
    <row r="22" spans="1:8">
      <c r="A22" s="2681" t="s">
        <v>132</v>
      </c>
      <c r="B22" s="2684" t="s">
        <v>149</v>
      </c>
      <c r="C22" s="2684">
        <f>'Thickness &amp; Weight'!C18</f>
        <v>0</v>
      </c>
      <c r="D22" s="2681">
        <f t="shared" si="2"/>
        <v>0</v>
      </c>
      <c r="G22" s="2681" t="s">
        <v>14</v>
      </c>
      <c r="H22" s="2681" t="s">
        <v>124</v>
      </c>
    </row>
    <row r="23" spans="1:8">
      <c r="A23" s="2681" t="s">
        <v>132</v>
      </c>
      <c r="B23" s="2684" t="s">
        <v>150</v>
      </c>
      <c r="C23" s="2684">
        <f>'Thickness &amp; Weight'!L6</f>
        <v>0.1</v>
      </c>
      <c r="D23" s="2681">
        <f t="shared" si="2"/>
        <v>0.1</v>
      </c>
      <c r="G23" s="2681" t="s">
        <v>14</v>
      </c>
      <c r="H23" s="2681" t="s">
        <v>124</v>
      </c>
    </row>
    <row r="24" spans="1:8">
      <c r="A24" s="2681" t="s">
        <v>132</v>
      </c>
      <c r="B24" s="2684" t="s">
        <v>151</v>
      </c>
      <c r="C24" s="2684">
        <f>'Thickness &amp; Weight'!L7</f>
        <v>0.6</v>
      </c>
      <c r="D24" s="2681">
        <f t="shared" si="2"/>
        <v>0.6</v>
      </c>
      <c r="G24" s="2681" t="s">
        <v>14</v>
      </c>
      <c r="H24" s="2681" t="s">
        <v>124</v>
      </c>
    </row>
    <row r="25" spans="1:8">
      <c r="A25" s="2681" t="s">
        <v>132</v>
      </c>
      <c r="B25" s="2684" t="s">
        <v>152</v>
      </c>
      <c r="C25" s="2684">
        <f>'Thickness &amp; Weight'!L8+'Thickness &amp; Weight'!L9</f>
        <v>1.05</v>
      </c>
      <c r="D25" s="2681">
        <f t="shared" si="2"/>
        <v>1.05</v>
      </c>
      <c r="H25" s="2681" t="s">
        <v>124</v>
      </c>
    </row>
    <row r="26" spans="1:8">
      <c r="A26" s="2681" t="s">
        <v>132</v>
      </c>
      <c r="B26" s="2684" t="s">
        <v>153</v>
      </c>
      <c r="C26" s="2684">
        <f>'Thickness &amp; Weight'!L10</f>
        <v>0</v>
      </c>
      <c r="D26" s="2681">
        <f t="shared" si="2"/>
        <v>0</v>
      </c>
      <c r="G26" s="2681" t="s">
        <v>14</v>
      </c>
      <c r="H26" s="2681" t="s">
        <v>124</v>
      </c>
    </row>
    <row r="27" spans="1:8">
      <c r="A27" s="2681" t="s">
        <v>132</v>
      </c>
      <c r="B27" s="2684" t="s">
        <v>154</v>
      </c>
      <c r="C27" s="2684">
        <f>'Thickness &amp; Weight'!L11</f>
        <v>0.085</v>
      </c>
      <c r="D27" s="2681">
        <f t="shared" si="2"/>
        <v>0.085</v>
      </c>
      <c r="G27" s="2681" t="s">
        <v>14</v>
      </c>
      <c r="H27" s="2681" t="s">
        <v>124</v>
      </c>
    </row>
    <row r="28" spans="1:8">
      <c r="A28" s="2681" t="s">
        <v>132</v>
      </c>
      <c r="B28" s="2681" t="s">
        <v>155</v>
      </c>
      <c r="C28" s="2681" t="s">
        <v>156</v>
      </c>
      <c r="D28" s="2682">
        <f>C9+C10+C12+D17+C18+C19+C20+C21+C23+C24</f>
        <v>2.609</v>
      </c>
      <c r="H28" s="2681" t="s">
        <v>124</v>
      </c>
    </row>
    <row r="29" spans="1:8">
      <c r="A29" s="2681" t="s">
        <v>132</v>
      </c>
      <c r="B29" s="2681" t="s">
        <v>157</v>
      </c>
      <c r="C29" s="2681" t="s">
        <v>158</v>
      </c>
      <c r="D29" s="2685">
        <f>D11+C12+D17+C18+C19+C20+C21+C4</f>
        <v>2.378</v>
      </c>
      <c r="H29" s="2681" t="s">
        <v>124</v>
      </c>
    </row>
    <row r="30" spans="1:8">
      <c r="A30" s="2681" t="s">
        <v>132</v>
      </c>
      <c r="B30" s="2681" t="s">
        <v>159</v>
      </c>
      <c r="C30" s="2681" t="s">
        <v>160</v>
      </c>
      <c r="D30" s="2685">
        <f>D29-C4+C23+C24+C25+C26+C27</f>
        <v>4.163</v>
      </c>
      <c r="H30" s="2681" t="s">
        <v>124</v>
      </c>
    </row>
    <row r="31" spans="1:9">
      <c r="A31" s="2681" t="s">
        <v>161</v>
      </c>
      <c r="B31" s="2684" t="s">
        <v>162</v>
      </c>
      <c r="C31" s="2684">
        <f>Outline_X_and_Y!D5</f>
        <v>0.25</v>
      </c>
      <c r="D31" s="2681">
        <f>C31</f>
        <v>0.25</v>
      </c>
      <c r="H31" s="2681" t="s">
        <v>124</v>
      </c>
      <c r="I31" s="2681" t="s">
        <v>163</v>
      </c>
    </row>
    <row r="32" spans="1:8">
      <c r="A32" s="2681" t="s">
        <v>161</v>
      </c>
      <c r="B32" s="2684" t="s">
        <v>164</v>
      </c>
      <c r="C32" s="2684">
        <f>Outline_X_and_Y!D7</f>
        <v>0.5</v>
      </c>
      <c r="D32" s="2681">
        <f t="shared" ref="D32:D34" si="3">C32</f>
        <v>0.5</v>
      </c>
      <c r="H32" s="2681" t="s">
        <v>124</v>
      </c>
    </row>
    <row r="33" spans="1:9">
      <c r="A33" s="2681" t="s">
        <v>161</v>
      </c>
      <c r="B33" s="2684" t="s">
        <v>165</v>
      </c>
      <c r="C33" s="2684">
        <f>Outline_X_and_Y!D8</f>
        <v>0.15</v>
      </c>
      <c r="D33" s="2681">
        <f t="shared" si="3"/>
        <v>0.15</v>
      </c>
      <c r="H33" s="2681" t="s">
        <v>124</v>
      </c>
      <c r="I33" s="2681" t="s">
        <v>166</v>
      </c>
    </row>
    <row r="34" spans="1:8">
      <c r="A34" s="2681" t="s">
        <v>161</v>
      </c>
      <c r="B34" s="2684" t="s">
        <v>167</v>
      </c>
      <c r="C34" s="2684">
        <f>Outline_X_and_Y!D9+Outline_X_and_Y!D10</f>
        <v>2</v>
      </c>
      <c r="D34" s="2681">
        <f t="shared" si="3"/>
        <v>2</v>
      </c>
      <c r="H34" s="2681" t="s">
        <v>124</v>
      </c>
    </row>
    <row r="35" spans="1:9">
      <c r="A35" s="2681" t="s">
        <v>161</v>
      </c>
      <c r="B35" s="2681" t="s">
        <v>168</v>
      </c>
      <c r="C35" s="2681" t="s">
        <v>169</v>
      </c>
      <c r="D35" s="2685">
        <f>C4+C31+C5+C32+C33+C34</f>
        <v>3</v>
      </c>
      <c r="G35" s="2681" t="s">
        <v>14</v>
      </c>
      <c r="H35" s="2681" t="s">
        <v>124</v>
      </c>
      <c r="I35" s="2681" t="s">
        <v>170</v>
      </c>
    </row>
    <row r="36" spans="1:8">
      <c r="A36" s="2681" t="s">
        <v>161</v>
      </c>
      <c r="B36" s="2681" t="s">
        <v>171</v>
      </c>
      <c r="C36" s="2681" t="s">
        <v>172</v>
      </c>
      <c r="D36" s="2682">
        <f>C2/2+D35</f>
        <v>175.11</v>
      </c>
      <c r="G36" s="2681" t="s">
        <v>14</v>
      </c>
      <c r="H36" s="2681" t="s">
        <v>124</v>
      </c>
    </row>
    <row r="37" spans="1:9">
      <c r="A37" s="2681" t="s">
        <v>161</v>
      </c>
      <c r="B37" s="2684" t="s">
        <v>173</v>
      </c>
      <c r="C37" s="2684">
        <f>Outline_X_and_Y!G32</f>
        <v>0.5</v>
      </c>
      <c r="D37" s="2681">
        <f>C37</f>
        <v>0.5</v>
      </c>
      <c r="H37" s="2681" t="s">
        <v>124</v>
      </c>
      <c r="I37" s="2681" t="s">
        <v>174</v>
      </c>
    </row>
    <row r="38" spans="1:9">
      <c r="A38" s="2681" t="s">
        <v>161</v>
      </c>
      <c r="B38" s="2684" t="s">
        <v>175</v>
      </c>
      <c r="C38" s="2684">
        <f>'Cell Tape 貼覆面積'!C6</f>
        <v>1</v>
      </c>
      <c r="D38" s="2681">
        <f t="shared" ref="D38:D47" si="4">C38</f>
        <v>1</v>
      </c>
      <c r="H38" s="2681" t="s">
        <v>124</v>
      </c>
      <c r="I38" s="2681" t="s">
        <v>176</v>
      </c>
    </row>
    <row r="39" spans="1:9">
      <c r="A39" s="2681" t="s">
        <v>161</v>
      </c>
      <c r="B39" s="2684" t="s">
        <v>177</v>
      </c>
      <c r="C39" s="2684">
        <f>Outline_X_and_Y!G33</f>
        <v>1.2</v>
      </c>
      <c r="D39" s="2681">
        <f t="shared" si="4"/>
        <v>1.2</v>
      </c>
      <c r="H39" s="2681" t="s">
        <v>124</v>
      </c>
      <c r="I39" s="2681" t="s">
        <v>178</v>
      </c>
    </row>
    <row r="40" spans="1:9">
      <c r="A40" s="2681" t="s">
        <v>161</v>
      </c>
      <c r="B40" s="2684" t="s">
        <v>179</v>
      </c>
      <c r="C40" s="2684">
        <f>Outline_X_and_Y!G34</f>
        <v>0.757476133685732</v>
      </c>
      <c r="D40" s="2681">
        <f t="shared" si="4"/>
        <v>0.757476133685732</v>
      </c>
      <c r="H40" s="2681" t="s">
        <v>124</v>
      </c>
      <c r="I40" s="2681" t="s">
        <v>180</v>
      </c>
    </row>
    <row r="41" spans="1:9">
      <c r="A41" s="2681" t="s">
        <v>161</v>
      </c>
      <c r="B41" s="2684" t="s">
        <v>181</v>
      </c>
      <c r="C41" s="2684">
        <f>Outline_X_and_Y!G35</f>
        <v>0</v>
      </c>
      <c r="D41" s="2681">
        <f t="shared" si="4"/>
        <v>0</v>
      </c>
      <c r="H41" s="2681" t="s">
        <v>124</v>
      </c>
      <c r="I41" s="2681" t="s">
        <v>180</v>
      </c>
    </row>
    <row r="42" spans="1:9">
      <c r="A42" s="2681" t="s">
        <v>161</v>
      </c>
      <c r="B42" s="2684" t="s">
        <v>182</v>
      </c>
      <c r="C42" s="2684">
        <f>Outline_X_and_Y!G36</f>
        <v>0</v>
      </c>
      <c r="D42" s="2681">
        <f t="shared" si="4"/>
        <v>0</v>
      </c>
      <c r="H42" s="2681" t="s">
        <v>124</v>
      </c>
      <c r="I42" s="2681" t="s">
        <v>183</v>
      </c>
    </row>
    <row r="43" spans="1:8">
      <c r="A43" s="2681" t="s">
        <v>161</v>
      </c>
      <c r="B43" s="2684" t="s">
        <v>184</v>
      </c>
      <c r="C43" s="2684">
        <f>Outline_X_and_Y!G37</f>
        <v>1</v>
      </c>
      <c r="D43" s="2681">
        <f t="shared" si="4"/>
        <v>1</v>
      </c>
      <c r="H43" s="2681" t="s">
        <v>124</v>
      </c>
    </row>
    <row r="44" spans="1:9">
      <c r="A44" s="2681" t="s">
        <v>161</v>
      </c>
      <c r="B44" s="2684" t="s">
        <v>185</v>
      </c>
      <c r="C44" s="2684">
        <f>Outline_X_and_Y!G40</f>
        <v>0.5</v>
      </c>
      <c r="D44" s="2681">
        <f t="shared" si="4"/>
        <v>0.5</v>
      </c>
      <c r="H44" s="2681" t="s">
        <v>124</v>
      </c>
      <c r="I44" s="2681" t="s">
        <v>174</v>
      </c>
    </row>
    <row r="45" spans="1:9">
      <c r="A45" s="2681" t="s">
        <v>161</v>
      </c>
      <c r="B45" s="2684" t="s">
        <v>186</v>
      </c>
      <c r="C45" s="2684">
        <f>Outline_X_and_Y!G39</f>
        <v>0.75</v>
      </c>
      <c r="D45" s="2681">
        <f t="shared" si="4"/>
        <v>0.75</v>
      </c>
      <c r="H45" s="2681" t="s">
        <v>124</v>
      </c>
      <c r="I45" s="2681" t="s">
        <v>187</v>
      </c>
    </row>
    <row r="46" spans="1:9">
      <c r="A46" s="2681" t="s">
        <v>161</v>
      </c>
      <c r="B46" s="2684" t="s">
        <v>188</v>
      </c>
      <c r="C46" s="2684">
        <f>Outline_X_and_Y!G38</f>
        <v>0.3</v>
      </c>
      <c r="D46" s="2681">
        <f t="shared" si="4"/>
        <v>0.3</v>
      </c>
      <c r="H46" s="2681" t="s">
        <v>124</v>
      </c>
      <c r="I46" s="2681" t="s">
        <v>189</v>
      </c>
    </row>
    <row r="47" spans="1:8">
      <c r="A47" s="2681" t="s">
        <v>161</v>
      </c>
      <c r="B47" s="2684" t="s">
        <v>190</v>
      </c>
      <c r="C47" s="2684">
        <f>Outline_X_and_Y!G31</f>
        <v>0.05</v>
      </c>
      <c r="D47" s="2681">
        <f t="shared" si="4"/>
        <v>0.05</v>
      </c>
      <c r="H47" s="2681" t="s">
        <v>124</v>
      </c>
    </row>
    <row r="48" spans="1:9">
      <c r="A48" s="2681" t="s">
        <v>161</v>
      </c>
      <c r="B48" s="2681" t="s">
        <v>191</v>
      </c>
      <c r="C48" s="2681" t="s">
        <v>192</v>
      </c>
      <c r="D48" s="2682">
        <f>C34-C37-C46</f>
        <v>1.2</v>
      </c>
      <c r="H48" s="2681" t="s">
        <v>124</v>
      </c>
      <c r="I48" s="2681" t="s">
        <v>193</v>
      </c>
    </row>
    <row r="49" spans="1:9">
      <c r="A49" s="2681" t="s">
        <v>161</v>
      </c>
      <c r="B49" s="2681" t="s">
        <v>194</v>
      </c>
      <c r="C49" s="2681" t="s">
        <v>195</v>
      </c>
      <c r="D49" s="2682">
        <f>C32+C33+C34-C44-C45</f>
        <v>1.4</v>
      </c>
      <c r="H49" s="2681" t="s">
        <v>124</v>
      </c>
      <c r="I49" s="2681" t="s">
        <v>183</v>
      </c>
    </row>
    <row r="50" spans="1:9">
      <c r="A50" s="2681" t="s">
        <v>161</v>
      </c>
      <c r="B50" s="2681" t="s">
        <v>196</v>
      </c>
      <c r="C50" s="2682" t="s">
        <v>197</v>
      </c>
      <c r="D50" s="2682">
        <f>C39-C40</f>
        <v>0.442523866314268</v>
      </c>
      <c r="H50" s="2681" t="s">
        <v>124</v>
      </c>
      <c r="I50" s="2681" t="s">
        <v>198</v>
      </c>
    </row>
    <row r="51" spans="1:9">
      <c r="A51" s="2681" t="s">
        <v>161</v>
      </c>
      <c r="B51" s="2681" t="s">
        <v>199</v>
      </c>
      <c r="C51" s="2681" t="s">
        <v>200</v>
      </c>
      <c r="D51" s="2682">
        <f>D48-C40</f>
        <v>0.442523866314268</v>
      </c>
      <c r="H51" s="2681" t="s">
        <v>124</v>
      </c>
      <c r="I51" s="2681" t="s">
        <v>201</v>
      </c>
    </row>
    <row r="52" spans="1:9">
      <c r="A52" s="2681" t="s">
        <v>202</v>
      </c>
      <c r="B52" s="2684" t="s">
        <v>203</v>
      </c>
      <c r="C52" s="2684">
        <f>Outline_X_and_Y!D18</f>
        <v>0.5</v>
      </c>
      <c r="D52" s="2681">
        <f>C52</f>
        <v>0.5</v>
      </c>
      <c r="H52" s="2681" t="s">
        <v>124</v>
      </c>
      <c r="I52" s="2681" t="s">
        <v>163</v>
      </c>
    </row>
    <row r="53" spans="1:8">
      <c r="A53" s="2681" t="s">
        <v>202</v>
      </c>
      <c r="B53" s="2684" t="s">
        <v>204</v>
      </c>
      <c r="C53" s="2684">
        <f>Outline_X_and_Y!D16</f>
        <v>-0.2</v>
      </c>
      <c r="D53" s="2681">
        <f t="shared" ref="D53:D55" si="5">C53</f>
        <v>-0.2</v>
      </c>
      <c r="H53" s="2681" t="s">
        <v>124</v>
      </c>
    </row>
    <row r="54" spans="1:9">
      <c r="A54" s="2681" t="s">
        <v>202</v>
      </c>
      <c r="B54" s="2684" t="s">
        <v>205</v>
      </c>
      <c r="C54" s="2684">
        <f>Outline_X_and_Y!D15</f>
        <v>0.15</v>
      </c>
      <c r="D54" s="2681">
        <f t="shared" si="5"/>
        <v>0.15</v>
      </c>
      <c r="H54" s="2681" t="s">
        <v>124</v>
      </c>
      <c r="I54" s="2681" t="s">
        <v>166</v>
      </c>
    </row>
    <row r="55" spans="1:8">
      <c r="A55" s="2681" t="s">
        <v>202</v>
      </c>
      <c r="B55" s="2684" t="s">
        <v>206</v>
      </c>
      <c r="C55" s="2684">
        <f>Outline_X_and_Y!D14+Outline_X_and_Y!D13</f>
        <v>2.3</v>
      </c>
      <c r="D55" s="2681">
        <f t="shared" si="5"/>
        <v>2.3</v>
      </c>
      <c r="H55" s="2681" t="s">
        <v>124</v>
      </c>
    </row>
    <row r="56" spans="1:9">
      <c r="A56" s="2681" t="s">
        <v>202</v>
      </c>
      <c r="B56" s="2681" t="s">
        <v>207</v>
      </c>
      <c r="C56" s="2681" t="s">
        <v>208</v>
      </c>
      <c r="D56" s="2685">
        <f>C4+C52+C5+C53+C54+C55</f>
        <v>2.85</v>
      </c>
      <c r="G56" s="2681" t="s">
        <v>14</v>
      </c>
      <c r="H56" s="2681" t="s">
        <v>124</v>
      </c>
      <c r="I56" s="2681" t="s">
        <v>209</v>
      </c>
    </row>
    <row r="57" spans="1:8">
      <c r="A57" s="2681" t="s">
        <v>202</v>
      </c>
      <c r="B57" s="2681" t="s">
        <v>210</v>
      </c>
      <c r="C57" s="2681" t="s">
        <v>211</v>
      </c>
      <c r="D57" s="2682">
        <f>C2/2+D56</f>
        <v>174.96</v>
      </c>
      <c r="G57" s="2681" t="s">
        <v>14</v>
      </c>
      <c r="H57" s="2681" t="s">
        <v>124</v>
      </c>
    </row>
    <row r="58" spans="1:9">
      <c r="A58" s="2681" t="s">
        <v>202</v>
      </c>
      <c r="B58" s="2684" t="s">
        <v>212</v>
      </c>
      <c r="C58" s="2684">
        <f>Outline_X_and_Y!G46</f>
        <v>0.5</v>
      </c>
      <c r="D58" s="2681">
        <f>C58</f>
        <v>0.5</v>
      </c>
      <c r="H58" s="2681" t="s">
        <v>124</v>
      </c>
      <c r="I58" s="2681" t="s">
        <v>174</v>
      </c>
    </row>
    <row r="59" spans="1:9">
      <c r="A59" s="2681" t="s">
        <v>202</v>
      </c>
      <c r="B59" s="2684" t="s">
        <v>213</v>
      </c>
      <c r="C59" s="2684">
        <f>'Cell Tape 貼覆面積'!C12</f>
        <v>1</v>
      </c>
      <c r="D59" s="2681">
        <f t="shared" ref="D59:D67" si="6">C59</f>
        <v>1</v>
      </c>
      <c r="H59" s="2681" t="s">
        <v>124</v>
      </c>
      <c r="I59" s="2681" t="s">
        <v>176</v>
      </c>
    </row>
    <row r="60" spans="1:9">
      <c r="A60" s="2681" t="s">
        <v>202</v>
      </c>
      <c r="B60" s="2684" t="s">
        <v>214</v>
      </c>
      <c r="C60" s="2684">
        <f>Outline_X_and_Y!G47</f>
        <v>1.2</v>
      </c>
      <c r="D60" s="2681">
        <f t="shared" si="6"/>
        <v>1.2</v>
      </c>
      <c r="H60" s="2681" t="s">
        <v>124</v>
      </c>
      <c r="I60" s="2681" t="s">
        <v>178</v>
      </c>
    </row>
    <row r="61" spans="1:8">
      <c r="A61" s="2681" t="s">
        <v>202</v>
      </c>
      <c r="B61" s="2684" t="s">
        <v>215</v>
      </c>
      <c r="C61" s="2684">
        <f>Outline_X_and_Y!G48</f>
        <v>0.757476133685732</v>
      </c>
      <c r="D61" s="2681">
        <f t="shared" si="6"/>
        <v>0.757476133685732</v>
      </c>
      <c r="H61" s="2681" t="s">
        <v>124</v>
      </c>
    </row>
    <row r="62" spans="1:9">
      <c r="A62" s="2681" t="s">
        <v>202</v>
      </c>
      <c r="B62" s="2684" t="s">
        <v>216</v>
      </c>
      <c r="C62" s="2684">
        <f>Outline_X_and_Y!G49</f>
        <v>0</v>
      </c>
      <c r="D62" s="2681">
        <f t="shared" si="6"/>
        <v>0</v>
      </c>
      <c r="H62" s="2681" t="s">
        <v>124</v>
      </c>
      <c r="I62" s="2681" t="s">
        <v>180</v>
      </c>
    </row>
    <row r="63" spans="1:9">
      <c r="A63" s="2681" t="s">
        <v>202</v>
      </c>
      <c r="B63" s="2684" t="s">
        <v>217</v>
      </c>
      <c r="C63" s="2684">
        <f>Outline_X_and_Y!G50</f>
        <v>0</v>
      </c>
      <c r="D63" s="2681">
        <f t="shared" si="6"/>
        <v>0</v>
      </c>
      <c r="H63" s="2681" t="s">
        <v>124</v>
      </c>
      <c r="I63" s="2681" t="s">
        <v>183</v>
      </c>
    </row>
    <row r="64" spans="1:8">
      <c r="A64" s="2681" t="s">
        <v>202</v>
      </c>
      <c r="B64" s="2684" t="s">
        <v>218</v>
      </c>
      <c r="C64" s="2684">
        <f>Outline_X_and_Y!G51</f>
        <v>1.3</v>
      </c>
      <c r="D64" s="2681">
        <f t="shared" si="6"/>
        <v>1.3</v>
      </c>
      <c r="H64" s="2681" t="s">
        <v>124</v>
      </c>
    </row>
    <row r="65" spans="1:9">
      <c r="A65" s="2681" t="s">
        <v>202</v>
      </c>
      <c r="B65" s="2684" t="s">
        <v>219</v>
      </c>
      <c r="C65" s="2684">
        <f>Outline_X_and_Y!G54</f>
        <v>0.6</v>
      </c>
      <c r="D65" s="2681">
        <f t="shared" si="6"/>
        <v>0.6</v>
      </c>
      <c r="H65" s="2681" t="s">
        <v>124</v>
      </c>
      <c r="I65" s="2681" t="s">
        <v>174</v>
      </c>
    </row>
    <row r="66" spans="1:9">
      <c r="A66" s="2681" t="s">
        <v>202</v>
      </c>
      <c r="B66" s="2684" t="s">
        <v>220</v>
      </c>
      <c r="C66" s="2684">
        <f>Outline_X_and_Y!G53</f>
        <v>0.75</v>
      </c>
      <c r="D66" s="2681">
        <f t="shared" si="6"/>
        <v>0.75</v>
      </c>
      <c r="H66" s="2681" t="s">
        <v>124</v>
      </c>
      <c r="I66" s="2681" t="s">
        <v>187</v>
      </c>
    </row>
    <row r="67" spans="1:9">
      <c r="A67" s="2681" t="s">
        <v>202</v>
      </c>
      <c r="B67" s="2684" t="s">
        <v>221</v>
      </c>
      <c r="C67" s="2684">
        <f>Outline_X_and_Y!G52</f>
        <v>0.2</v>
      </c>
      <c r="D67" s="2681">
        <f t="shared" si="6"/>
        <v>0.2</v>
      </c>
      <c r="H67" s="2681" t="s">
        <v>124</v>
      </c>
      <c r="I67" s="2681" t="s">
        <v>189</v>
      </c>
    </row>
    <row r="68" spans="1:8">
      <c r="A68" s="2681" t="s">
        <v>202</v>
      </c>
      <c r="B68" s="2682" t="s">
        <v>222</v>
      </c>
      <c r="C68" s="2686" t="s">
        <v>190</v>
      </c>
      <c r="D68" s="2682">
        <f>C47</f>
        <v>0.05</v>
      </c>
      <c r="H68" s="2681" t="s">
        <v>124</v>
      </c>
    </row>
    <row r="69" spans="1:9">
      <c r="A69" s="2681" t="s">
        <v>202</v>
      </c>
      <c r="B69" s="2682" t="s">
        <v>223</v>
      </c>
      <c r="C69" s="2682" t="s">
        <v>224</v>
      </c>
      <c r="D69" s="2682">
        <f>C55-C58-C67</f>
        <v>1.6</v>
      </c>
      <c r="H69" s="2681" t="s">
        <v>124</v>
      </c>
      <c r="I69" s="2681" t="s">
        <v>193</v>
      </c>
    </row>
    <row r="70" spans="1:9">
      <c r="A70" s="2681" t="s">
        <v>202</v>
      </c>
      <c r="B70" s="2681" t="s">
        <v>225</v>
      </c>
      <c r="C70" s="2681" t="s">
        <v>226</v>
      </c>
      <c r="D70" s="2682">
        <f>C53+C54+C55-C65-C66</f>
        <v>0.9</v>
      </c>
      <c r="H70" s="2681" t="s">
        <v>124</v>
      </c>
      <c r="I70" s="2681" t="s">
        <v>183</v>
      </c>
    </row>
    <row r="71" spans="1:9">
      <c r="A71" s="2681" t="s">
        <v>202</v>
      </c>
      <c r="B71" s="2681" t="s">
        <v>227</v>
      </c>
      <c r="C71" s="2681" t="s">
        <v>228</v>
      </c>
      <c r="D71" s="2682">
        <f>C60-C61</f>
        <v>0.442523866314268</v>
      </c>
      <c r="H71" s="2681" t="s">
        <v>124</v>
      </c>
      <c r="I71" s="2681" t="s">
        <v>198</v>
      </c>
    </row>
    <row r="72" spans="1:9">
      <c r="A72" s="2681" t="s">
        <v>202</v>
      </c>
      <c r="B72" s="2681" t="s">
        <v>229</v>
      </c>
      <c r="C72" s="2681" t="s">
        <v>230</v>
      </c>
      <c r="D72" s="2682">
        <f>D69-C61</f>
        <v>0.842523866314268</v>
      </c>
      <c r="H72" s="2681" t="s">
        <v>124</v>
      </c>
      <c r="I72" s="2681" t="s">
        <v>201</v>
      </c>
    </row>
    <row r="73" spans="1:9">
      <c r="A73" s="2681" t="s">
        <v>231</v>
      </c>
      <c r="B73" s="2684" t="s">
        <v>232</v>
      </c>
      <c r="C73" s="2684">
        <f>Outline_X_and_Y!L5</f>
        <v>0.25</v>
      </c>
      <c r="D73" s="2681">
        <f>C73</f>
        <v>0.25</v>
      </c>
      <c r="H73" s="2681" t="s">
        <v>124</v>
      </c>
      <c r="I73" s="2681" t="s">
        <v>233</v>
      </c>
    </row>
    <row r="74" spans="1:8">
      <c r="A74" s="2681" t="s">
        <v>231</v>
      </c>
      <c r="B74" s="2684" t="s">
        <v>234</v>
      </c>
      <c r="C74" s="2684">
        <f>Outline_X_and_Y!L7</f>
        <v>-0.35</v>
      </c>
      <c r="D74" s="2681">
        <f t="shared" ref="D74:D76" si="7">C74</f>
        <v>-0.35</v>
      </c>
      <c r="H74" s="2681" t="s">
        <v>124</v>
      </c>
    </row>
    <row r="75" spans="1:9">
      <c r="A75" s="2681" t="s">
        <v>231</v>
      </c>
      <c r="B75" s="2684" t="s">
        <v>235</v>
      </c>
      <c r="C75" s="2684">
        <f>Outline_X_and_Y!L8</f>
        <v>0.15</v>
      </c>
      <c r="D75" s="2681">
        <f t="shared" si="7"/>
        <v>0.15</v>
      </c>
      <c r="H75" s="2681" t="s">
        <v>124</v>
      </c>
      <c r="I75" s="2681" t="s">
        <v>166</v>
      </c>
    </row>
    <row r="76" spans="1:8">
      <c r="A76" s="2681" t="s">
        <v>231</v>
      </c>
      <c r="B76" s="2684" t="s">
        <v>236</v>
      </c>
      <c r="C76" s="2684">
        <f>Outline_X_and_Y!L9+Outline_X_and_Y!L10</f>
        <v>2.8</v>
      </c>
      <c r="D76" s="2681">
        <f t="shared" si="7"/>
        <v>2.8</v>
      </c>
      <c r="H76" s="2681" t="s">
        <v>124</v>
      </c>
    </row>
    <row r="77" spans="1:9">
      <c r="A77" s="2681" t="s">
        <v>231</v>
      </c>
      <c r="B77" s="2681" t="s">
        <v>237</v>
      </c>
      <c r="C77" s="2681" t="s">
        <v>238</v>
      </c>
      <c r="D77" s="2685">
        <f>C4+C73+C5+C74+C75+C76</f>
        <v>2.95</v>
      </c>
      <c r="G77" s="2681" t="s">
        <v>14</v>
      </c>
      <c r="H77" s="2681" t="s">
        <v>124</v>
      </c>
      <c r="I77" s="2681" t="s">
        <v>239</v>
      </c>
    </row>
    <row r="78" spans="1:8">
      <c r="A78" s="2681" t="s">
        <v>231</v>
      </c>
      <c r="B78" s="2681" t="s">
        <v>240</v>
      </c>
      <c r="C78" s="2681" t="s">
        <v>241</v>
      </c>
      <c r="D78" s="2682">
        <f>C3/2+D77</f>
        <v>101.1</v>
      </c>
      <c r="G78" s="2681" t="s">
        <v>14</v>
      </c>
      <c r="H78" s="2681" t="s">
        <v>124</v>
      </c>
    </row>
    <row r="79" spans="1:9">
      <c r="A79" s="2681" t="s">
        <v>231</v>
      </c>
      <c r="B79" s="2684" t="s">
        <v>242</v>
      </c>
      <c r="C79" s="2684">
        <f>Outline_X_and_Y!O32</f>
        <v>0.5</v>
      </c>
      <c r="D79" s="2681">
        <f>C79</f>
        <v>0.5</v>
      </c>
      <c r="H79" s="2681" t="s">
        <v>124</v>
      </c>
      <c r="I79" s="2681" t="s">
        <v>174</v>
      </c>
    </row>
    <row r="80" spans="1:9">
      <c r="A80" s="2681" t="s">
        <v>231</v>
      </c>
      <c r="B80" s="2684" t="s">
        <v>243</v>
      </c>
      <c r="C80" s="2684">
        <f>'Cell Tape 貼覆面積'!G6</f>
        <v>1</v>
      </c>
      <c r="D80" s="2681">
        <f t="shared" ref="D80:D88" si="8">C80</f>
        <v>1</v>
      </c>
      <c r="H80" s="2681" t="s">
        <v>124</v>
      </c>
      <c r="I80" s="2681" t="s">
        <v>176</v>
      </c>
    </row>
    <row r="81" spans="1:9">
      <c r="A81" s="2681" t="s">
        <v>231</v>
      </c>
      <c r="B81" s="2684" t="s">
        <v>244</v>
      </c>
      <c r="C81" s="2684">
        <f>Outline_X_and_Y!O33</f>
        <v>1.3</v>
      </c>
      <c r="D81" s="2681">
        <f t="shared" si="8"/>
        <v>1.3</v>
      </c>
      <c r="H81" s="2681" t="s">
        <v>124</v>
      </c>
      <c r="I81" s="2681" t="s">
        <v>178</v>
      </c>
    </row>
    <row r="82" spans="1:9">
      <c r="A82" s="2681" t="s">
        <v>231</v>
      </c>
      <c r="B82" s="2684" t="s">
        <v>245</v>
      </c>
      <c r="C82" s="2684">
        <f>Outline_X_and_Y!O34</f>
        <v>0.757476133685732</v>
      </c>
      <c r="D82" s="2681">
        <f t="shared" si="8"/>
        <v>0.757476133685732</v>
      </c>
      <c r="H82" s="2681" t="s">
        <v>124</v>
      </c>
      <c r="I82" s="2681" t="s">
        <v>180</v>
      </c>
    </row>
    <row r="83" spans="1:9">
      <c r="A83" s="2681" t="s">
        <v>231</v>
      </c>
      <c r="B83" s="2684" t="s">
        <v>246</v>
      </c>
      <c r="C83" s="2684">
        <f>Outline_X_and_Y!O35</f>
        <v>0</v>
      </c>
      <c r="D83" s="2681">
        <f t="shared" si="8"/>
        <v>0</v>
      </c>
      <c r="H83" s="2681" t="s">
        <v>124</v>
      </c>
      <c r="I83" s="2681" t="s">
        <v>180</v>
      </c>
    </row>
    <row r="84" spans="1:9">
      <c r="A84" s="2681" t="s">
        <v>231</v>
      </c>
      <c r="B84" s="2684" t="s">
        <v>247</v>
      </c>
      <c r="C84" s="2684">
        <f>Outline_X_and_Y!O36</f>
        <v>0</v>
      </c>
      <c r="D84" s="2681">
        <f t="shared" si="8"/>
        <v>0</v>
      </c>
      <c r="H84" s="2681" t="s">
        <v>124</v>
      </c>
      <c r="I84" s="2681" t="s">
        <v>183</v>
      </c>
    </row>
    <row r="85" spans="1:9">
      <c r="A85" s="2681" t="s">
        <v>231</v>
      </c>
      <c r="B85" s="2684" t="s">
        <v>248</v>
      </c>
      <c r="C85" s="2684">
        <f>Outline_X_and_Y!O40</f>
        <v>0.55</v>
      </c>
      <c r="D85" s="2681">
        <f t="shared" si="8"/>
        <v>0.55</v>
      </c>
      <c r="H85" s="2681" t="s">
        <v>124</v>
      </c>
      <c r="I85" s="2681" t="s">
        <v>174</v>
      </c>
    </row>
    <row r="86" spans="1:9">
      <c r="A86" s="2681" t="s">
        <v>231</v>
      </c>
      <c r="B86" s="2684" t="s">
        <v>249</v>
      </c>
      <c r="C86" s="2684">
        <f>Outline_X_and_Y!O39</f>
        <v>0.65</v>
      </c>
      <c r="D86" s="2681">
        <f t="shared" si="8"/>
        <v>0.65</v>
      </c>
      <c r="H86" s="2681" t="s">
        <v>124</v>
      </c>
      <c r="I86" s="2681" t="s">
        <v>187</v>
      </c>
    </row>
    <row r="87" spans="1:9">
      <c r="A87" s="2681" t="s">
        <v>231</v>
      </c>
      <c r="B87" s="2684" t="s">
        <v>250</v>
      </c>
      <c r="C87" s="2684">
        <f>Outline_X_and_Y!O38</f>
        <v>0.25</v>
      </c>
      <c r="D87" s="2681">
        <f t="shared" si="8"/>
        <v>0.25</v>
      </c>
      <c r="H87" s="2681" t="s">
        <v>124</v>
      </c>
      <c r="I87" s="2681" t="s">
        <v>189</v>
      </c>
    </row>
    <row r="88" spans="1:9">
      <c r="A88" s="2681" t="s">
        <v>231</v>
      </c>
      <c r="B88" s="2684" t="s">
        <v>251</v>
      </c>
      <c r="C88" s="2684">
        <f>Outline_X_and_Y!O37</f>
        <v>0.7</v>
      </c>
      <c r="D88" s="2681">
        <f t="shared" si="8"/>
        <v>0.7</v>
      </c>
      <c r="H88" s="2681" t="s">
        <v>124</v>
      </c>
      <c r="I88" s="2681" t="s">
        <v>252</v>
      </c>
    </row>
    <row r="89" spans="1:8">
      <c r="A89" s="2681" t="s">
        <v>231</v>
      </c>
      <c r="B89" s="2682" t="s">
        <v>253</v>
      </c>
      <c r="C89" s="2686" t="s">
        <v>190</v>
      </c>
      <c r="D89" s="2682">
        <f>C47</f>
        <v>0.05</v>
      </c>
      <c r="H89" s="2681" t="s">
        <v>124</v>
      </c>
    </row>
    <row r="90" spans="1:9">
      <c r="A90" s="2681" t="s">
        <v>231</v>
      </c>
      <c r="B90" s="2681" t="s">
        <v>254</v>
      </c>
      <c r="C90" s="2681" t="s">
        <v>255</v>
      </c>
      <c r="D90" s="2682">
        <f>C76-C79-C87</f>
        <v>2.05</v>
      </c>
      <c r="H90" s="2681" t="s">
        <v>124</v>
      </c>
      <c r="I90" s="2681" t="s">
        <v>193</v>
      </c>
    </row>
    <row r="91" spans="1:9">
      <c r="A91" s="2681" t="s">
        <v>231</v>
      </c>
      <c r="B91" s="2681" t="s">
        <v>256</v>
      </c>
      <c r="C91" s="2681" t="s">
        <v>257</v>
      </c>
      <c r="D91" s="2682">
        <f>C74+C75+C76-C85-C86</f>
        <v>1.4</v>
      </c>
      <c r="H91" s="2681" t="s">
        <v>124</v>
      </c>
      <c r="I91" s="2681" t="s">
        <v>183</v>
      </c>
    </row>
    <row r="92" spans="1:9">
      <c r="A92" s="2681" t="s">
        <v>231</v>
      </c>
      <c r="B92" s="2681" t="s">
        <v>258</v>
      </c>
      <c r="C92" s="2687" t="s">
        <v>259</v>
      </c>
      <c r="D92" s="2682">
        <f>D91-C88-0.2</f>
        <v>0.5</v>
      </c>
      <c r="H92" s="2681" t="s">
        <v>124</v>
      </c>
      <c r="I92" s="2681" t="s">
        <v>260</v>
      </c>
    </row>
    <row r="93" spans="1:9">
      <c r="A93" s="2681" t="s">
        <v>231</v>
      </c>
      <c r="B93" s="2681" t="s">
        <v>261</v>
      </c>
      <c r="C93" s="2681" t="s">
        <v>262</v>
      </c>
      <c r="D93" s="2682">
        <f>C81-C82</f>
        <v>0.542523866314268</v>
      </c>
      <c r="H93" s="2681" t="s">
        <v>124</v>
      </c>
      <c r="I93" s="2681" t="s">
        <v>198</v>
      </c>
    </row>
    <row r="94" spans="1:9">
      <c r="A94" s="2681" t="s">
        <v>231</v>
      </c>
      <c r="B94" s="2681" t="s">
        <v>263</v>
      </c>
      <c r="C94" s="2681" t="s">
        <v>264</v>
      </c>
      <c r="D94" s="2682">
        <f>D90-C82</f>
        <v>1.29252386631427</v>
      </c>
      <c r="H94" s="2681" t="s">
        <v>124</v>
      </c>
      <c r="I94" s="2687" t="s">
        <v>265</v>
      </c>
    </row>
    <row r="95" spans="1:9">
      <c r="A95" s="2681" t="s">
        <v>266</v>
      </c>
      <c r="B95" s="2688" t="s">
        <v>267</v>
      </c>
      <c r="C95" s="2684">
        <f>亮度與BLU功耗!J28</f>
        <v>0.75</v>
      </c>
      <c r="D95" s="2681">
        <f>C95</f>
        <v>0.75</v>
      </c>
      <c r="H95" s="2681" t="s">
        <v>124</v>
      </c>
      <c r="I95" s="2687" t="s">
        <v>268</v>
      </c>
    </row>
    <row r="96" spans="1:8">
      <c r="A96" s="2681" t="s">
        <v>266</v>
      </c>
      <c r="B96" s="2684" t="s">
        <v>269</v>
      </c>
      <c r="C96" s="2684">
        <f>Outline_X_and_Y!T15</f>
        <v>0.5</v>
      </c>
      <c r="D96" s="2681">
        <f t="shared" ref="D96:D98" si="9">C96</f>
        <v>0.5</v>
      </c>
      <c r="H96" s="2681" t="s">
        <v>124</v>
      </c>
    </row>
    <row r="97" spans="1:8">
      <c r="A97" s="2681" t="s">
        <v>266</v>
      </c>
      <c r="B97" s="2684" t="s">
        <v>270</v>
      </c>
      <c r="C97" s="2684">
        <f>Outline_X_and_Y!L14</f>
        <v>4</v>
      </c>
      <c r="D97" s="2681">
        <f t="shared" si="9"/>
        <v>4</v>
      </c>
      <c r="H97" s="2681" t="s">
        <v>124</v>
      </c>
    </row>
    <row r="98" spans="1:8">
      <c r="A98" s="2681" t="s">
        <v>266</v>
      </c>
      <c r="B98" s="2684" t="s">
        <v>271</v>
      </c>
      <c r="C98" s="2684">
        <f>Outline_X_and_Y!L13</f>
        <v>3.2</v>
      </c>
      <c r="D98" s="2681">
        <f t="shared" si="9"/>
        <v>3.2</v>
      </c>
      <c r="H98" s="2681" t="s">
        <v>124</v>
      </c>
    </row>
    <row r="99" spans="1:9">
      <c r="A99" s="2681" t="s">
        <v>266</v>
      </c>
      <c r="B99" s="2681" t="s">
        <v>272</v>
      </c>
      <c r="C99" s="2681" t="s">
        <v>273</v>
      </c>
      <c r="D99" s="2685">
        <f>C4+C95+C96+C97+C98</f>
        <v>8.5</v>
      </c>
      <c r="H99" s="2681" t="s">
        <v>124</v>
      </c>
      <c r="I99" s="2694" t="s">
        <v>274</v>
      </c>
    </row>
    <row r="100" spans="1:8">
      <c r="A100" s="2681" t="s">
        <v>266</v>
      </c>
      <c r="B100" s="2681" t="s">
        <v>275</v>
      </c>
      <c r="C100" s="2681" t="s">
        <v>276</v>
      </c>
      <c r="D100" s="2682">
        <f>C3/2+D99</f>
        <v>106.65</v>
      </c>
      <c r="G100" s="2681" t="s">
        <v>14</v>
      </c>
      <c r="H100" s="2681" t="s">
        <v>124</v>
      </c>
    </row>
    <row r="101" spans="1:9">
      <c r="A101" s="2681" t="s">
        <v>266</v>
      </c>
      <c r="B101" s="2684" t="s">
        <v>277</v>
      </c>
      <c r="C101" s="2684">
        <f>Outline_X_and_Y!R49</f>
        <v>0.5</v>
      </c>
      <c r="D101" s="2681">
        <f>C101</f>
        <v>0.5</v>
      </c>
      <c r="H101" s="2681" t="s">
        <v>124</v>
      </c>
      <c r="I101" s="2681" t="s">
        <v>278</v>
      </c>
    </row>
    <row r="102" spans="1:9">
      <c r="A102" s="2681" t="s">
        <v>266</v>
      </c>
      <c r="B102" s="2684" t="s">
        <v>279</v>
      </c>
      <c r="C102" s="2684">
        <f>Outline_X_and_Y!R51</f>
        <v>1</v>
      </c>
      <c r="D102" s="2681">
        <f t="shared" ref="D102:D112" si="10">C102</f>
        <v>1</v>
      </c>
      <c r="H102" s="2681" t="s">
        <v>124</v>
      </c>
      <c r="I102" s="2681" t="s">
        <v>193</v>
      </c>
    </row>
    <row r="103" spans="1:9">
      <c r="A103" s="2681" t="s">
        <v>266</v>
      </c>
      <c r="B103" s="2684" t="s">
        <v>280</v>
      </c>
      <c r="C103" s="2684">
        <f>'Cell Tape 貼覆面積'!G12</f>
        <v>1.8</v>
      </c>
      <c r="D103" s="2681">
        <f t="shared" si="10"/>
        <v>1.8</v>
      </c>
      <c r="H103" s="2681" t="s">
        <v>124</v>
      </c>
      <c r="I103" s="2681" t="s">
        <v>281</v>
      </c>
    </row>
    <row r="104" spans="1:8">
      <c r="A104" s="2681" t="s">
        <v>266</v>
      </c>
      <c r="B104" s="2684" t="s">
        <v>282</v>
      </c>
      <c r="C104" s="2684">
        <f>Outline_X_and_Y!R50</f>
        <v>1.2</v>
      </c>
      <c r="D104" s="2681">
        <f t="shared" si="10"/>
        <v>1.2</v>
      </c>
      <c r="H104" s="2681" t="s">
        <v>124</v>
      </c>
    </row>
    <row r="105" spans="1:9">
      <c r="A105" s="2681" t="s">
        <v>266</v>
      </c>
      <c r="B105" s="2684" t="s">
        <v>283</v>
      </c>
      <c r="C105" s="2684">
        <f>Outline_X_and_Y!R52</f>
        <v>0</v>
      </c>
      <c r="D105" s="2681">
        <f t="shared" si="10"/>
        <v>0</v>
      </c>
      <c r="H105" s="2681" t="s">
        <v>124</v>
      </c>
      <c r="I105" s="2681" t="s">
        <v>180</v>
      </c>
    </row>
    <row r="106" spans="1:9">
      <c r="A106" s="2681" t="s">
        <v>266</v>
      </c>
      <c r="B106" s="2684" t="s">
        <v>284</v>
      </c>
      <c r="C106" s="2684">
        <f>Outline_X_and_Y!R53</f>
        <v>0</v>
      </c>
      <c r="D106" s="2681">
        <f t="shared" si="10"/>
        <v>0</v>
      </c>
      <c r="H106" s="2681" t="s">
        <v>124</v>
      </c>
      <c r="I106" s="2681" t="s">
        <v>183</v>
      </c>
    </row>
    <row r="107" spans="1:9">
      <c r="A107" s="2681" t="s">
        <v>266</v>
      </c>
      <c r="B107" s="2684" t="s">
        <v>285</v>
      </c>
      <c r="C107" s="2684">
        <f>Outline_X_and_Y!R54</f>
        <v>0.6</v>
      </c>
      <c r="D107" s="2681">
        <f t="shared" si="10"/>
        <v>0.6</v>
      </c>
      <c r="H107" s="2681" t="s">
        <v>124</v>
      </c>
      <c r="I107" s="2681" t="s">
        <v>286</v>
      </c>
    </row>
    <row r="108" spans="1:9">
      <c r="A108" s="2681" t="s">
        <v>266</v>
      </c>
      <c r="B108" s="2684" t="s">
        <v>287</v>
      </c>
      <c r="C108" s="2684">
        <f>Outline_X_and_Y!R55</f>
        <v>0.25</v>
      </c>
      <c r="D108" s="2681">
        <f t="shared" si="10"/>
        <v>0.25</v>
      </c>
      <c r="H108" s="2681" t="s">
        <v>124</v>
      </c>
      <c r="I108" s="2681" t="s">
        <v>260</v>
      </c>
    </row>
    <row r="109" spans="1:9">
      <c r="A109" s="2681" t="s">
        <v>266</v>
      </c>
      <c r="B109" s="2684" t="s">
        <v>288</v>
      </c>
      <c r="C109" s="2684">
        <f>Outline_X_and_Y!J46</f>
        <v>0.105</v>
      </c>
      <c r="D109" s="2681">
        <f t="shared" si="10"/>
        <v>0.105</v>
      </c>
      <c r="H109" s="2681" t="s">
        <v>124</v>
      </c>
      <c r="I109" s="2681" t="s">
        <v>289</v>
      </c>
    </row>
    <row r="110" spans="1:8">
      <c r="A110" s="2681" t="s">
        <v>266</v>
      </c>
      <c r="B110" s="2689" t="s">
        <v>290</v>
      </c>
      <c r="C110" s="2684">
        <f>Outline_X_and_Y!J45</f>
        <v>0.1</v>
      </c>
      <c r="D110" s="2681">
        <f t="shared" si="10"/>
        <v>0.1</v>
      </c>
      <c r="H110" s="2681" t="s">
        <v>124</v>
      </c>
    </row>
    <row r="111" spans="1:9">
      <c r="A111" s="2681" t="s">
        <v>266</v>
      </c>
      <c r="B111" s="2684" t="s">
        <v>291</v>
      </c>
      <c r="C111" s="2684">
        <f>Outline_X_and_Y!J47</f>
        <v>0.12</v>
      </c>
      <c r="D111" s="2681">
        <f t="shared" si="10"/>
        <v>0.12</v>
      </c>
      <c r="H111" s="2681" t="s">
        <v>124</v>
      </c>
      <c r="I111" s="2681" t="s">
        <v>292</v>
      </c>
    </row>
    <row r="112" spans="1:9">
      <c r="A112" s="2681" t="s">
        <v>266</v>
      </c>
      <c r="B112" s="2684" t="s">
        <v>293</v>
      </c>
      <c r="C112" s="2684">
        <f>亮度與BLU功耗!J30</f>
        <v>0.4</v>
      </c>
      <c r="D112" s="2681">
        <f t="shared" si="10"/>
        <v>0.4</v>
      </c>
      <c r="H112" s="2681" t="s">
        <v>124</v>
      </c>
      <c r="I112" s="2687" t="s">
        <v>294</v>
      </c>
    </row>
    <row r="113" spans="1:8">
      <c r="A113" s="2681" t="s">
        <v>266</v>
      </c>
      <c r="B113" s="2681" t="s">
        <v>295</v>
      </c>
      <c r="C113" s="2681" t="s">
        <v>267</v>
      </c>
      <c r="D113" s="2682">
        <f>C95</f>
        <v>0.75</v>
      </c>
      <c r="H113" s="2681" t="s">
        <v>124</v>
      </c>
    </row>
    <row r="114" spans="1:8">
      <c r="A114" s="2681" t="s">
        <v>266</v>
      </c>
      <c r="B114" s="2684" t="s">
        <v>296</v>
      </c>
      <c r="C114" s="2684">
        <f>亮度與BLU功耗!J32</f>
        <v>0.85</v>
      </c>
      <c r="D114" s="2681">
        <f>C114</f>
        <v>0.85</v>
      </c>
      <c r="H114" s="2681" t="s">
        <v>124</v>
      </c>
    </row>
    <row r="115" spans="1:8">
      <c r="A115" s="2681" t="s">
        <v>266</v>
      </c>
      <c r="B115" s="2684" t="s">
        <v>297</v>
      </c>
      <c r="C115" s="2684">
        <f>亮度與BLU功耗!J33</f>
        <v>3</v>
      </c>
      <c r="D115" s="2681">
        <f t="shared" ref="D115:D118" si="11">C115</f>
        <v>3</v>
      </c>
      <c r="H115" s="2681" t="s">
        <v>124</v>
      </c>
    </row>
    <row r="116" spans="1:8">
      <c r="A116" s="2681" t="s">
        <v>266</v>
      </c>
      <c r="B116" s="2684" t="s">
        <v>298</v>
      </c>
      <c r="C116" s="2684">
        <f>VLOOKUP(亮度與BLU功耗!E10,LED選型!B3:H67,7,0)</f>
        <v>0.6</v>
      </c>
      <c r="D116" s="2681">
        <f t="shared" si="11"/>
        <v>0.6</v>
      </c>
      <c r="H116" s="2681" t="s">
        <v>124</v>
      </c>
    </row>
    <row r="117" spans="1:8">
      <c r="A117" s="2681" t="s">
        <v>266</v>
      </c>
      <c r="B117" s="2684" t="s">
        <v>299</v>
      </c>
      <c r="C117" s="2684">
        <f>亮度與BLU功耗!E14</f>
        <v>55</v>
      </c>
      <c r="D117" s="2681">
        <f t="shared" si="11"/>
        <v>55</v>
      </c>
      <c r="H117" s="2681" t="s">
        <v>124</v>
      </c>
    </row>
    <row r="118" spans="1:8">
      <c r="A118" s="2681" t="s">
        <v>266</v>
      </c>
      <c r="B118" s="2684" t="s">
        <v>300</v>
      </c>
      <c r="C118" s="2684">
        <f>亮度與BLU功耗!J35</f>
        <v>30</v>
      </c>
      <c r="D118" s="2681">
        <f t="shared" si="11"/>
        <v>30</v>
      </c>
      <c r="H118" s="2681" t="s">
        <v>124</v>
      </c>
    </row>
    <row r="119" spans="1:8">
      <c r="A119" s="2681" t="s">
        <v>266</v>
      </c>
      <c r="B119" s="2681" t="s">
        <v>301</v>
      </c>
      <c r="C119" s="2681" t="s">
        <v>302</v>
      </c>
      <c r="D119" s="2682">
        <f>C98-C101-C108</f>
        <v>2.45</v>
      </c>
      <c r="H119" s="2681" t="s">
        <v>124</v>
      </c>
    </row>
    <row r="120" spans="1:9">
      <c r="A120" s="2681" t="s">
        <v>266</v>
      </c>
      <c r="B120" s="2681" t="s">
        <v>303</v>
      </c>
      <c r="C120" s="2681" t="s">
        <v>304</v>
      </c>
      <c r="D120" s="2682">
        <f>D99-C4-D113-C21-0.1-C112-C114</f>
        <v>6.1</v>
      </c>
      <c r="H120" s="2681" t="s">
        <v>124</v>
      </c>
      <c r="I120" s="2681" t="s">
        <v>305</v>
      </c>
    </row>
    <row r="121" spans="1:11">
      <c r="A121" s="2681" t="s">
        <v>266</v>
      </c>
      <c r="B121" s="2681" t="s">
        <v>306</v>
      </c>
      <c r="C121" s="2681" t="s">
        <v>307</v>
      </c>
      <c r="D121" s="2690">
        <f>(C2-2*D120*TAN(C118*PI()/180))/(C117-1)</f>
        <v>6.2440060502942</v>
      </c>
      <c r="H121" s="2681" t="s">
        <v>124</v>
      </c>
      <c r="K121" s="2687"/>
    </row>
    <row r="122" spans="1:10">
      <c r="A122" s="2681" t="s">
        <v>266</v>
      </c>
      <c r="B122" s="2681" t="s">
        <v>308</v>
      </c>
      <c r="C122" s="2681" t="s">
        <v>309</v>
      </c>
      <c r="D122" s="2691">
        <f>D120/D121</f>
        <v>0.976936913716249</v>
      </c>
      <c r="H122" s="2681" t="s">
        <v>124</v>
      </c>
      <c r="J122" s="2687" t="s">
        <v>310</v>
      </c>
    </row>
    <row r="123" spans="1:9">
      <c r="A123" s="2681" t="s">
        <v>266</v>
      </c>
      <c r="B123" s="2681" t="s">
        <v>311</v>
      </c>
      <c r="C123" s="2681" t="s">
        <v>312</v>
      </c>
      <c r="D123" s="2682">
        <f>D120-D119-C108</f>
        <v>3.4</v>
      </c>
      <c r="H123" s="2681" t="s">
        <v>124</v>
      </c>
      <c r="I123" s="2681" t="s">
        <v>313</v>
      </c>
    </row>
    <row r="124" spans="1:9">
      <c r="A124" s="2681" t="s">
        <v>266</v>
      </c>
      <c r="B124" s="2681" t="s">
        <v>314</v>
      </c>
      <c r="C124" s="2681" t="s">
        <v>315</v>
      </c>
      <c r="D124" s="2682">
        <f>D99-C4-C95-D119-C108</f>
        <v>5</v>
      </c>
      <c r="H124" s="2681" t="s">
        <v>124</v>
      </c>
      <c r="I124" s="2681" t="s">
        <v>316</v>
      </c>
    </row>
    <row r="125" spans="1:8">
      <c r="A125" s="2681" t="s">
        <v>266</v>
      </c>
      <c r="B125" s="2681" t="s">
        <v>317</v>
      </c>
      <c r="C125" s="2681" t="s">
        <v>318</v>
      </c>
      <c r="D125" s="2682">
        <f>C103-C102</f>
        <v>0.8</v>
      </c>
      <c r="H125" s="2681" t="s">
        <v>124</v>
      </c>
    </row>
    <row r="126" spans="1:9">
      <c r="A126" s="2681" t="s">
        <v>266</v>
      </c>
      <c r="B126" s="2681" t="s">
        <v>319</v>
      </c>
      <c r="C126" s="2681" t="s">
        <v>320</v>
      </c>
      <c r="D126" s="2682">
        <f>D119-C102</f>
        <v>1.45</v>
      </c>
      <c r="H126" s="2681" t="s">
        <v>124</v>
      </c>
      <c r="I126" s="2681" t="s">
        <v>321</v>
      </c>
    </row>
    <row r="127" ht="14.4" spans="2:9">
      <c r="B127" s="2692" t="s">
        <v>322</v>
      </c>
      <c r="C127" s="2693">
        <f>亮度與BLU功耗!K28</f>
        <v>0</v>
      </c>
      <c r="D127" s="2682">
        <f>C127</f>
        <v>0</v>
      </c>
      <c r="H127" s="2681" t="s">
        <v>124</v>
      </c>
      <c r="I127" s="2681" t="s">
        <v>323</v>
      </c>
    </row>
    <row r="128" spans="2:8">
      <c r="B128" s="2681" t="s">
        <v>324</v>
      </c>
      <c r="C128" s="2681" t="s">
        <v>325</v>
      </c>
      <c r="D128" s="2685">
        <f>D78+D100</f>
        <v>207.75</v>
      </c>
      <c r="G128" s="2681" t="s">
        <v>14</v>
      </c>
      <c r="H128" s="2681" t="s">
        <v>124</v>
      </c>
    </row>
    <row r="129" spans="2:8">
      <c r="B129" s="2681" t="s">
        <v>326</v>
      </c>
      <c r="C129" s="2681" t="s">
        <v>327</v>
      </c>
      <c r="D129" s="2685">
        <f>D36+D57</f>
        <v>350.07</v>
      </c>
      <c r="G129" s="2681" t="s">
        <v>14</v>
      </c>
      <c r="H129" s="2681" t="s">
        <v>124</v>
      </c>
    </row>
    <row r="130" ht="14.4" spans="2:9">
      <c r="B130" s="2695" t="s">
        <v>328</v>
      </c>
      <c r="C130" s="2696" t="s">
        <v>329</v>
      </c>
      <c r="D130" s="2685">
        <f>D128+C127</f>
        <v>207.75</v>
      </c>
      <c r="H130" s="2681" t="s">
        <v>124</v>
      </c>
      <c r="I130" s="2681" t="s">
        <v>323</v>
      </c>
    </row>
    <row r="131" spans="2:8">
      <c r="B131" s="2684" t="s">
        <v>330</v>
      </c>
      <c r="C131" s="2684">
        <f>'Thickness &amp; Weight'!U10</f>
        <v>200</v>
      </c>
      <c r="D131" s="2681">
        <f>C131</f>
        <v>200</v>
      </c>
      <c r="H131" s="2681" t="s">
        <v>124</v>
      </c>
    </row>
    <row r="132" spans="2:8">
      <c r="B132" s="2684" t="s">
        <v>331</v>
      </c>
      <c r="C132" s="2684">
        <f>'Thickness &amp; Weight'!U11</f>
        <v>13</v>
      </c>
      <c r="D132" s="2681">
        <f t="shared" ref="D132:D136" si="12">C132</f>
        <v>13</v>
      </c>
      <c r="H132" s="2681" t="s">
        <v>124</v>
      </c>
    </row>
    <row r="133" spans="2:8">
      <c r="B133" s="2684" t="s">
        <v>332</v>
      </c>
      <c r="C133" s="2684">
        <f>Outline_X_and_Y!R41</f>
        <v>20</v>
      </c>
      <c r="D133" s="2681">
        <f t="shared" si="12"/>
        <v>20</v>
      </c>
      <c r="H133" s="2681" t="s">
        <v>124</v>
      </c>
    </row>
    <row r="134" spans="2:8">
      <c r="B134" s="2684" t="s">
        <v>333</v>
      </c>
      <c r="C134" s="2684">
        <f>Outline_X_and_Y!R40</f>
        <v>5</v>
      </c>
      <c r="D134" s="2681">
        <f t="shared" si="12"/>
        <v>5</v>
      </c>
      <c r="H134" s="2681" t="s">
        <v>124</v>
      </c>
    </row>
    <row r="135" spans="2:8">
      <c r="B135" s="2684" t="s">
        <v>334</v>
      </c>
      <c r="C135" s="2684">
        <f>Outline_X_and_Y!X41</f>
        <v>80</v>
      </c>
      <c r="D135" s="2681">
        <f t="shared" si="12"/>
        <v>80</v>
      </c>
      <c r="H135" s="2681" t="s">
        <v>124</v>
      </c>
    </row>
    <row r="136" spans="2:8">
      <c r="B136" s="2684" t="s">
        <v>335</v>
      </c>
      <c r="C136" s="2684">
        <f>Outline_X_and_Y!X39</f>
        <v>60</v>
      </c>
      <c r="D136" s="2681">
        <f t="shared" si="12"/>
        <v>60</v>
      </c>
      <c r="H136" s="2681" t="s">
        <v>124</v>
      </c>
    </row>
    <row r="137" spans="2:8">
      <c r="B137" s="2681" t="s">
        <v>336</v>
      </c>
      <c r="C137" s="2687" t="s">
        <v>337</v>
      </c>
      <c r="D137" s="2682">
        <f>D36-C135</f>
        <v>95.11</v>
      </c>
      <c r="H137" s="2681" t="s">
        <v>124</v>
      </c>
    </row>
    <row r="138" spans="2:8">
      <c r="B138" s="2681" t="s">
        <v>338</v>
      </c>
      <c r="C138" s="2681" t="s">
        <v>339</v>
      </c>
      <c r="D138" s="2682">
        <f>D100-C136</f>
        <v>46.65</v>
      </c>
      <c r="H138" s="2681" t="s">
        <v>124</v>
      </c>
    </row>
    <row r="139" spans="1:8">
      <c r="A139" s="2681" t="s">
        <v>340</v>
      </c>
      <c r="B139" s="2684" t="s">
        <v>341</v>
      </c>
      <c r="C139" s="2684">
        <f>'Open Cell'!I14</f>
        <v>0.75</v>
      </c>
      <c r="D139" s="2681">
        <f>C139</f>
        <v>0.75</v>
      </c>
      <c r="H139" s="2681" t="s">
        <v>124</v>
      </c>
    </row>
    <row r="140" spans="1:9">
      <c r="A140" s="2681" t="s">
        <v>340</v>
      </c>
      <c r="B140" s="2684" t="s">
        <v>342</v>
      </c>
      <c r="C140" s="2684">
        <f>'Open Cell'!I20</f>
        <v>0.6</v>
      </c>
      <c r="D140" s="2681">
        <f t="shared" ref="D140:D141" si="13">C140</f>
        <v>0.6</v>
      </c>
      <c r="H140" s="2681" t="s">
        <v>124</v>
      </c>
      <c r="I140" s="2681" t="s">
        <v>343</v>
      </c>
    </row>
    <row r="141" spans="1:9">
      <c r="A141" s="2681" t="s">
        <v>340</v>
      </c>
      <c r="B141" s="2697" t="s">
        <v>344</v>
      </c>
      <c r="C141" s="2697">
        <f>'Open Cell'!I13</f>
        <v>0.2</v>
      </c>
      <c r="D141" s="2681">
        <f t="shared" si="13"/>
        <v>0.2</v>
      </c>
      <c r="H141" s="2681" t="s">
        <v>124</v>
      </c>
      <c r="I141" s="2681" t="s">
        <v>345</v>
      </c>
    </row>
    <row r="142" spans="1:9">
      <c r="A142" s="2681" t="s">
        <v>340</v>
      </c>
      <c r="B142" s="2681" t="s">
        <v>346</v>
      </c>
      <c r="C142" s="2681" t="s">
        <v>347</v>
      </c>
      <c r="D142" s="2682">
        <f>C139+C140+C141+0.3</f>
        <v>1.85</v>
      </c>
      <c r="H142" s="2681" t="s">
        <v>124</v>
      </c>
      <c r="I142" s="2681" t="s">
        <v>348</v>
      </c>
    </row>
    <row r="143" spans="1:8">
      <c r="A143" s="2681" t="s">
        <v>340</v>
      </c>
      <c r="B143" s="2684" t="s">
        <v>349</v>
      </c>
      <c r="C143" s="2684">
        <f>'Open Cell'!I12</f>
        <v>0.31</v>
      </c>
      <c r="D143" s="2681">
        <f>C143</f>
        <v>0.31</v>
      </c>
      <c r="H143" s="2681" t="s">
        <v>124</v>
      </c>
    </row>
    <row r="144" spans="1:8">
      <c r="A144" s="2681" t="s">
        <v>340</v>
      </c>
      <c r="B144" s="2681" t="s">
        <v>350</v>
      </c>
      <c r="C144" s="2681" t="s">
        <v>349</v>
      </c>
      <c r="D144" s="2682">
        <f>C143</f>
        <v>0.31</v>
      </c>
      <c r="H144" s="2681" t="s">
        <v>124</v>
      </c>
    </row>
    <row r="145" spans="1:8">
      <c r="A145" s="2681" t="s">
        <v>340</v>
      </c>
      <c r="B145" s="2684" t="s">
        <v>351</v>
      </c>
      <c r="C145" s="2684">
        <f>'Open Cell'!I11</f>
        <v>0.12</v>
      </c>
      <c r="D145" s="2681">
        <f>C145</f>
        <v>0.12</v>
      </c>
      <c r="H145" s="2681" t="s">
        <v>124</v>
      </c>
    </row>
    <row r="146" spans="1:8">
      <c r="A146" s="2681" t="s">
        <v>340</v>
      </c>
      <c r="B146" s="2684" t="s">
        <v>352</v>
      </c>
      <c r="C146" s="2684">
        <f>'Open Cell'!I10</f>
        <v>0.13</v>
      </c>
      <c r="D146" s="2681">
        <f t="shared" ref="D146:D147" si="14">C146</f>
        <v>0.13</v>
      </c>
      <c r="H146" s="2681" t="s">
        <v>124</v>
      </c>
    </row>
    <row r="147" spans="1:9">
      <c r="A147" s="2681" t="s">
        <v>340</v>
      </c>
      <c r="B147" s="2684" t="s">
        <v>353</v>
      </c>
      <c r="C147" s="2684">
        <f>'Open Cell'!I4</f>
        <v>99</v>
      </c>
      <c r="D147" s="2681">
        <f t="shared" si="14"/>
        <v>99</v>
      </c>
      <c r="H147" s="2681" t="s">
        <v>124</v>
      </c>
      <c r="I147" s="2681" t="s">
        <v>354</v>
      </c>
    </row>
    <row r="148" spans="1:8">
      <c r="A148" s="2681" t="s">
        <v>340</v>
      </c>
      <c r="B148" s="2681" t="s">
        <v>355</v>
      </c>
      <c r="C148" s="2681" t="s">
        <v>353</v>
      </c>
      <c r="D148" s="2682">
        <f>C147</f>
        <v>99</v>
      </c>
      <c r="H148" s="2681" t="s">
        <v>124</v>
      </c>
    </row>
    <row r="149" spans="1:9">
      <c r="A149" s="2681" t="s">
        <v>340</v>
      </c>
      <c r="B149" s="2684" t="s">
        <v>356</v>
      </c>
      <c r="C149" s="2684">
        <f>'Open Cell'!I9</f>
        <v>0.35</v>
      </c>
      <c r="D149" s="2681">
        <f>C149</f>
        <v>0.35</v>
      </c>
      <c r="H149" s="2681" t="s">
        <v>124</v>
      </c>
      <c r="I149" s="2681" t="s">
        <v>357</v>
      </c>
    </row>
    <row r="150" spans="1:9">
      <c r="A150" s="2681" t="s">
        <v>340</v>
      </c>
      <c r="B150" s="2684" t="s">
        <v>358</v>
      </c>
      <c r="C150" s="2684">
        <f>'Open Cell'!I8</f>
        <v>0.375</v>
      </c>
      <c r="D150" s="2681">
        <f t="shared" ref="D150:D159" si="15">C150</f>
        <v>0.375</v>
      </c>
      <c r="H150" s="2681" t="s">
        <v>124</v>
      </c>
      <c r="I150" s="2681" t="s">
        <v>359</v>
      </c>
    </row>
    <row r="151" spans="1:9">
      <c r="A151" s="2681" t="s">
        <v>340</v>
      </c>
      <c r="B151" s="2684" t="s">
        <v>360</v>
      </c>
      <c r="C151" s="2684">
        <f>'Open Cell'!I21</f>
        <v>0.1</v>
      </c>
      <c r="D151" s="2681">
        <f t="shared" si="15"/>
        <v>0.1</v>
      </c>
      <c r="H151" s="2681" t="s">
        <v>124</v>
      </c>
      <c r="I151" s="2681" t="s">
        <v>361</v>
      </c>
    </row>
    <row r="152" spans="1:8">
      <c r="A152" s="2681" t="s">
        <v>340</v>
      </c>
      <c r="B152" s="2684" t="s">
        <v>362</v>
      </c>
      <c r="C152" s="2684">
        <f>'Open Cell'!I7</f>
        <v>0.12</v>
      </c>
      <c r="D152" s="2681">
        <f t="shared" si="15"/>
        <v>0.12</v>
      </c>
      <c r="H152" s="2681" t="s">
        <v>124</v>
      </c>
    </row>
    <row r="153" spans="1:9">
      <c r="A153" s="2681" t="s">
        <v>340</v>
      </c>
      <c r="B153" s="2684" t="s">
        <v>363</v>
      </c>
      <c r="C153" s="2684">
        <f>'Open Cell'!I6</f>
        <v>0.5</v>
      </c>
      <c r="D153" s="2681">
        <f t="shared" si="15"/>
        <v>0.5</v>
      </c>
      <c r="H153" s="2681" t="s">
        <v>124</v>
      </c>
      <c r="I153" s="2681" t="s">
        <v>364</v>
      </c>
    </row>
    <row r="154" spans="1:8">
      <c r="A154" s="2681" t="s">
        <v>340</v>
      </c>
      <c r="B154" s="2684" t="s">
        <v>365</v>
      </c>
      <c r="C154" s="2684">
        <f>'Open Cell'!I5</f>
        <v>0.058</v>
      </c>
      <c r="D154" s="2681">
        <f t="shared" si="15"/>
        <v>0.058</v>
      </c>
      <c r="H154" s="2681" t="s">
        <v>124</v>
      </c>
    </row>
    <row r="155" spans="1:9">
      <c r="A155" s="2681" t="s">
        <v>340</v>
      </c>
      <c r="B155" s="2684" t="s">
        <v>366</v>
      </c>
      <c r="C155" s="2684">
        <f>'Open Cell'!M4</f>
        <v>115</v>
      </c>
      <c r="D155" s="2681">
        <f t="shared" si="15"/>
        <v>115</v>
      </c>
      <c r="H155" s="2681" t="s">
        <v>124</v>
      </c>
      <c r="I155" s="2681" t="s">
        <v>367</v>
      </c>
    </row>
    <row r="156" spans="1:8">
      <c r="A156" s="2681" t="s">
        <v>340</v>
      </c>
      <c r="B156" s="2684" t="s">
        <v>368</v>
      </c>
      <c r="C156" s="2684">
        <f>'Open Cell'!P4</f>
        <v>50</v>
      </c>
      <c r="D156" s="2681">
        <f t="shared" si="15"/>
        <v>50</v>
      </c>
      <c r="H156" s="2681" t="s">
        <v>124</v>
      </c>
    </row>
    <row r="157" spans="1:8">
      <c r="A157" s="2681" t="s">
        <v>340</v>
      </c>
      <c r="B157" s="2684" t="s">
        <v>369</v>
      </c>
      <c r="C157" s="2684">
        <f>'Open Cell'!S4</f>
        <v>55</v>
      </c>
      <c r="D157" s="2681">
        <f t="shared" si="15"/>
        <v>55</v>
      </c>
      <c r="H157" s="2681" t="s">
        <v>124</v>
      </c>
    </row>
    <row r="158" spans="1:8">
      <c r="A158" s="2681" t="s">
        <v>340</v>
      </c>
      <c r="B158" s="2684" t="s">
        <v>370</v>
      </c>
      <c r="C158" s="2684">
        <f>'Open Cell'!V4</f>
        <v>56</v>
      </c>
      <c r="D158" s="2681">
        <f t="shared" si="15"/>
        <v>56</v>
      </c>
      <c r="H158" s="2681" t="s">
        <v>124</v>
      </c>
    </row>
    <row r="159" spans="1:9">
      <c r="A159" s="2681" t="s">
        <v>340</v>
      </c>
      <c r="B159" s="2684" t="s">
        <v>371</v>
      </c>
      <c r="C159" s="2684">
        <v>0.6</v>
      </c>
      <c r="D159" s="2681">
        <f t="shared" si="15"/>
        <v>0.6</v>
      </c>
      <c r="H159" s="2681" t="s">
        <v>124</v>
      </c>
      <c r="I159" s="2681" t="s">
        <v>372</v>
      </c>
    </row>
    <row r="160" spans="1:8">
      <c r="A160" s="2681" t="s">
        <v>340</v>
      </c>
      <c r="B160" s="2681" t="s">
        <v>373</v>
      </c>
      <c r="C160" s="2681" t="s">
        <v>374</v>
      </c>
      <c r="D160" s="2682">
        <f>C139+C140+C96</f>
        <v>1.85</v>
      </c>
      <c r="H160" s="2681" t="s">
        <v>124</v>
      </c>
    </row>
    <row r="161" spans="1:9">
      <c r="A161" s="2681" t="s">
        <v>375</v>
      </c>
      <c r="B161" s="2697" t="s">
        <v>376</v>
      </c>
      <c r="C161" s="2697">
        <f>'Open Cell'!Q22</f>
        <v>2</v>
      </c>
      <c r="D161" s="2681">
        <f>C161</f>
        <v>2</v>
      </c>
      <c r="H161" s="2681" t="s">
        <v>124</v>
      </c>
      <c r="I161" s="2681" t="s">
        <v>377</v>
      </c>
    </row>
    <row r="162" spans="1:9">
      <c r="A162" s="2681" t="s">
        <v>375</v>
      </c>
      <c r="B162" s="2681" t="s">
        <v>378</v>
      </c>
      <c r="C162" s="2681" t="s">
        <v>379</v>
      </c>
      <c r="D162" s="2682">
        <f>C161+0.2</f>
        <v>2.2</v>
      </c>
      <c r="H162" s="2681" t="s">
        <v>124</v>
      </c>
      <c r="I162" s="2681" t="s">
        <v>380</v>
      </c>
    </row>
    <row r="163" spans="1:9">
      <c r="A163" s="2681" t="s">
        <v>375</v>
      </c>
      <c r="B163" s="2684" t="s">
        <v>381</v>
      </c>
      <c r="C163" s="2684">
        <f>'Open Cell'!M22</f>
        <v>0.31</v>
      </c>
      <c r="D163" s="2681">
        <f>C163</f>
        <v>0.31</v>
      </c>
      <c r="H163" s="2681" t="s">
        <v>124</v>
      </c>
      <c r="I163" s="2681" t="s">
        <v>382</v>
      </c>
    </row>
    <row r="164" spans="1:8">
      <c r="A164" s="2681" t="s">
        <v>375</v>
      </c>
      <c r="B164" s="2681" t="s">
        <v>383</v>
      </c>
      <c r="C164" s="2681" t="s">
        <v>381</v>
      </c>
      <c r="D164" s="2682">
        <f>C163</f>
        <v>0.31</v>
      </c>
      <c r="H164" s="2681" t="s">
        <v>124</v>
      </c>
    </row>
    <row r="165" spans="1:9">
      <c r="A165" s="2681" t="s">
        <v>375</v>
      </c>
      <c r="B165" s="2684" t="s">
        <v>384</v>
      </c>
      <c r="C165" s="2684">
        <f>'Open Cell'!O22</f>
        <v>0.16</v>
      </c>
      <c r="D165" s="2681">
        <f>C165</f>
        <v>0.16</v>
      </c>
      <c r="H165" s="2681" t="s">
        <v>124</v>
      </c>
      <c r="I165" s="2681" t="s">
        <v>385</v>
      </c>
    </row>
    <row r="166" spans="1:8">
      <c r="A166" s="2681" t="s">
        <v>375</v>
      </c>
      <c r="B166" s="2681" t="s">
        <v>386</v>
      </c>
      <c r="C166" s="2681" t="s">
        <v>384</v>
      </c>
      <c r="D166" s="2682">
        <f>C165</f>
        <v>0.16</v>
      </c>
      <c r="H166" s="2681" t="s">
        <v>124</v>
      </c>
    </row>
    <row r="167" spans="1:9">
      <c r="A167" s="2681" t="s">
        <v>375</v>
      </c>
      <c r="B167" s="2684" t="s">
        <v>387</v>
      </c>
      <c r="C167" s="2684">
        <f>'Open Cell'!K22</f>
        <v>65</v>
      </c>
      <c r="D167" s="2682">
        <f>C167</f>
        <v>65</v>
      </c>
      <c r="H167" s="2681" t="s">
        <v>124</v>
      </c>
      <c r="I167" s="2681" t="s">
        <v>388</v>
      </c>
    </row>
    <row r="168" spans="1:9">
      <c r="A168" s="2681" t="s">
        <v>375</v>
      </c>
      <c r="B168" s="2681" t="s">
        <v>389</v>
      </c>
      <c r="C168" s="2681">
        <v>3</v>
      </c>
      <c r="D168" s="2681">
        <f>C168</f>
        <v>3</v>
      </c>
      <c r="H168" s="2681" t="s">
        <v>124</v>
      </c>
      <c r="I168" s="2681" t="s">
        <v>390</v>
      </c>
    </row>
    <row r="169" spans="1:8">
      <c r="A169" s="2681" t="s">
        <v>375</v>
      </c>
      <c r="B169" s="2684" t="s">
        <v>391</v>
      </c>
      <c r="C169" s="2684">
        <f>C167</f>
        <v>65</v>
      </c>
      <c r="D169" s="2681">
        <f t="shared" ref="D169:D172" si="16">C169</f>
        <v>65</v>
      </c>
      <c r="H169" s="2681" t="s">
        <v>124</v>
      </c>
    </row>
    <row r="170" spans="1:9">
      <c r="A170" s="2681" t="s">
        <v>375</v>
      </c>
      <c r="B170" s="2684" t="s">
        <v>392</v>
      </c>
      <c r="C170" s="2684">
        <f>'Open Cell'!K19</f>
        <v>0.5</v>
      </c>
      <c r="D170" s="2681">
        <f t="shared" si="16"/>
        <v>0.5</v>
      </c>
      <c r="H170" s="2681" t="s">
        <v>124</v>
      </c>
      <c r="I170" s="2681" t="s">
        <v>393</v>
      </c>
    </row>
    <row r="171" spans="1:9">
      <c r="A171" s="2681" t="s">
        <v>375</v>
      </c>
      <c r="B171" s="2684" t="s">
        <v>394</v>
      </c>
      <c r="C171" s="2684">
        <f>'Open Cell'!K18</f>
        <v>2</v>
      </c>
      <c r="D171" s="2681">
        <f t="shared" si="16"/>
        <v>2</v>
      </c>
      <c r="H171" s="2681" t="s">
        <v>124</v>
      </c>
      <c r="I171" s="2681" t="s">
        <v>395</v>
      </c>
    </row>
    <row r="172" spans="1:9">
      <c r="A172" s="2681" t="s">
        <v>375</v>
      </c>
      <c r="B172" s="2684" t="s">
        <v>396</v>
      </c>
      <c r="C172" s="2684">
        <f>'Open Cell'!Q20</f>
        <v>110</v>
      </c>
      <c r="D172" s="2681">
        <f t="shared" si="16"/>
        <v>110</v>
      </c>
      <c r="H172" s="2681" t="s">
        <v>124</v>
      </c>
      <c r="I172" s="2681" t="s">
        <v>367</v>
      </c>
    </row>
    <row r="173" spans="1:8">
      <c r="A173" s="2681" t="s">
        <v>375</v>
      </c>
      <c r="B173" s="2681" t="s">
        <v>397</v>
      </c>
      <c r="C173" s="2681" t="s">
        <v>398</v>
      </c>
      <c r="D173" s="2682">
        <f>C156</f>
        <v>50</v>
      </c>
      <c r="H173" s="2681" t="s">
        <v>124</v>
      </c>
    </row>
    <row r="174" spans="1:8">
      <c r="A174" s="2681" t="s">
        <v>375</v>
      </c>
      <c r="B174" s="2681" t="s">
        <v>399</v>
      </c>
      <c r="C174" s="2681" t="s">
        <v>400</v>
      </c>
      <c r="D174" s="2682">
        <f>C157</f>
        <v>55</v>
      </c>
      <c r="H174" s="2681" t="s">
        <v>124</v>
      </c>
    </row>
    <row r="175" spans="1:8">
      <c r="A175" s="2681" t="s">
        <v>375</v>
      </c>
      <c r="B175" s="2681" t="s">
        <v>401</v>
      </c>
      <c r="C175" s="2681" t="s">
        <v>402</v>
      </c>
      <c r="D175" s="2682">
        <f>C158</f>
        <v>56</v>
      </c>
      <c r="H175" s="2681" t="s">
        <v>124</v>
      </c>
    </row>
    <row r="176" spans="1:8">
      <c r="A176" s="2681" t="s">
        <v>375</v>
      </c>
      <c r="B176" s="2681" t="s">
        <v>403</v>
      </c>
      <c r="C176" s="2681" t="s">
        <v>404</v>
      </c>
      <c r="D176" s="2682">
        <f>C161+C171+C134-C4-C95</f>
        <v>8.2</v>
      </c>
      <c r="H176" s="2681" t="s">
        <v>124</v>
      </c>
    </row>
    <row r="177" ht="14.4" spans="1:8">
      <c r="A177" s="2694" t="s">
        <v>405</v>
      </c>
      <c r="B177" s="2698" t="s">
        <v>406</v>
      </c>
      <c r="C177" s="2681" t="str">
        <f>'BOM List格式（附件上传）'!M147</f>
        <v>"3006(YAG)-無Zener，55ea，8.75lm Typ，2.93V Max@22mA，12ea TVS"</v>
      </c>
      <c r="D177" s="2682" t="str">
        <f>C177</f>
        <v>"3006(YAG)-無Zener，55ea，8.75lm Typ，2.93V Max@22mA，12ea TVS"</v>
      </c>
      <c r="H177" s="733" t="s">
        <v>407</v>
      </c>
    </row>
    <row r="178" ht="14.4" spans="1:8">
      <c r="A178" s="2694" t="s">
        <v>405</v>
      </c>
      <c r="B178" s="2698" t="s">
        <v>408</v>
      </c>
      <c r="C178" s="2681" t="str">
        <f>'BOM List格式（附件上传）'!M148</f>
        <v>"DA01-H38 0.25t双折"</v>
      </c>
      <c r="D178" s="2682" t="str">
        <f t="shared" ref="D178:D191" si="17">C178</f>
        <v>"DA01-H38 0.25t双折"</v>
      </c>
      <c r="H178" s="733" t="s">
        <v>407</v>
      </c>
    </row>
    <row r="179" ht="14.4" spans="1:8">
      <c r="A179" s="2694" t="s">
        <v>405</v>
      </c>
      <c r="B179" s="2698" t="s">
        <v>409</v>
      </c>
      <c r="C179" s="2681" t="str">
        <f>'BOM List格式（附件上传）'!M149</f>
        <v>"热压PMMA，0.5t V-CUT"</v>
      </c>
      <c r="D179" s="2682" t="str">
        <f t="shared" si="17"/>
        <v>"热压PMMA，0.5t V-CUT"</v>
      </c>
      <c r="H179" s="733" t="s">
        <v>407</v>
      </c>
    </row>
    <row r="180" ht="14.4" spans="1:8">
      <c r="A180" s="2694" t="s">
        <v>405</v>
      </c>
      <c r="B180" s="2698" t="s">
        <v>410</v>
      </c>
      <c r="C180" s="2681" t="str">
        <f>'BOM List格式（附件上传）'!M150</f>
        <v>"PC 白"</v>
      </c>
      <c r="D180" s="2682" t="str">
        <f t="shared" si="17"/>
        <v>"PC 白"</v>
      </c>
      <c r="H180" s="733" t="s">
        <v>407</v>
      </c>
    </row>
    <row r="181" ht="14.4" spans="1:8">
      <c r="A181" s="2694" t="s">
        <v>405</v>
      </c>
      <c r="B181" s="2698" t="s">
        <v>411</v>
      </c>
      <c r="C181" s="2681" t="str">
        <f>'BOM List格式（附件上传）'!M151</f>
        <v>"SKC JS960HK  0.115t  印刷黑边"</v>
      </c>
      <c r="D181" s="2682" t="str">
        <f t="shared" si="17"/>
        <v>"SKC JS960HK  0.115t  印刷黑边"</v>
      </c>
      <c r="H181" s="733" t="s">
        <v>407</v>
      </c>
    </row>
    <row r="182" ht="14.4" spans="1:8">
      <c r="A182" s="2694" t="s">
        <v>405</v>
      </c>
      <c r="B182" s="2698" t="s">
        <v>412</v>
      </c>
      <c r="C182" s="2681" t="str">
        <f>'BOM List格式（附件上传）'!M152</f>
        <v>"Ubright HLS505-03 0.157t"</v>
      </c>
      <c r="D182" s="2682" t="str">
        <f t="shared" si="17"/>
        <v>"Ubright HLS505-03 0.157t"</v>
      </c>
      <c r="H182" s="733" t="s">
        <v>407</v>
      </c>
    </row>
    <row r="183" ht="14.4" spans="1:8">
      <c r="A183" s="2694" t="s">
        <v>405</v>
      </c>
      <c r="B183" s="2698" t="s">
        <v>413</v>
      </c>
      <c r="C183" s="2681" t="str">
        <f>'BOM List格式（附件上传）'!M153</f>
        <v>"Ubright HS505E 0.152t"</v>
      </c>
      <c r="D183" s="2682" t="str">
        <f t="shared" si="17"/>
        <v>"Ubright HS505E 0.152t"</v>
      </c>
      <c r="H183" s="733" t="s">
        <v>407</v>
      </c>
    </row>
    <row r="184" ht="14.4" spans="1:8">
      <c r="A184" s="2694" t="s">
        <v>405</v>
      </c>
      <c r="B184" s="2698" t="s">
        <v>414</v>
      </c>
      <c r="C184" s="2681" t="str">
        <f>'BOM List格式（附件上传）'!M154</f>
        <v>"乐凯 CDH743X 0.058t 印刷黑边"</v>
      </c>
      <c r="D184" s="2682" t="str">
        <f t="shared" si="17"/>
        <v>"乐凯 CDH743X 0.058t 印刷黑边"</v>
      </c>
      <c r="H184" s="733" t="s">
        <v>407</v>
      </c>
    </row>
    <row r="185" ht="14.4" spans="1:8">
      <c r="A185" s="2694" t="s">
        <v>405</v>
      </c>
      <c r="B185" s="2698" t="s">
        <v>415</v>
      </c>
      <c r="C185" s="2681" t="str">
        <f>'BOM List格式（附件上传）'!M155</f>
        <v>"兰埔成 RF150UC10E 0.16t"</v>
      </c>
      <c r="D185" s="2682" t="str">
        <f t="shared" si="17"/>
        <v>"兰埔成 RF150UC10E 0.16t"</v>
      </c>
      <c r="H185" s="733" t="s">
        <v>407</v>
      </c>
    </row>
    <row r="186" ht="14.4" spans="1:8">
      <c r="A186" s="2694" t="s">
        <v>405</v>
      </c>
      <c r="B186" s="2698" t="s">
        <v>416</v>
      </c>
      <c r="C186" s="2681" t="str">
        <f>'BOM List格式（附件上传）'!M159</f>
        <v>"双铝 "</v>
      </c>
      <c r="D186" s="2682" t="str">
        <f t="shared" si="17"/>
        <v>"双铝 "</v>
      </c>
      <c r="H186" s="733" t="s">
        <v>407</v>
      </c>
    </row>
    <row r="187" ht="14.4" spans="1:8">
      <c r="A187" s="2694" t="s">
        <v>405</v>
      </c>
      <c r="B187" s="2698" t="s">
        <v>417</v>
      </c>
      <c r="C187" s="2681" t="str">
        <f>'BOM List格式（附件上传）'!M160</f>
        <v>"双铝 "</v>
      </c>
      <c r="D187" s="2682" t="str">
        <f t="shared" si="17"/>
        <v>"双铝 "</v>
      </c>
      <c r="H187" s="733" t="s">
        <v>407</v>
      </c>
    </row>
    <row r="188" ht="14.4" spans="1:8">
      <c r="A188" s="2694" t="s">
        <v>405</v>
      </c>
      <c r="B188" s="2698" t="s">
        <v>418</v>
      </c>
      <c r="C188" s="2681" t="str">
        <f>'BOM List格式（附件上传）'!M161</f>
        <v>"双铝 "</v>
      </c>
      <c r="D188" s="2682" t="str">
        <f t="shared" si="17"/>
        <v>"双铝 "</v>
      </c>
      <c r="H188" s="733" t="s">
        <v>407</v>
      </c>
    </row>
    <row r="189" ht="14.4" spans="1:8">
      <c r="A189" s="2694" t="s">
        <v>405</v>
      </c>
      <c r="B189" s="2698" t="s">
        <v>419</v>
      </c>
      <c r="C189" s="2681" t="str">
        <f>'BOM List格式（附件上传）'!M162</f>
        <v>"双铝 "</v>
      </c>
      <c r="D189" s="2682" t="str">
        <f t="shared" si="17"/>
        <v>"双铝 "</v>
      </c>
      <c r="H189" s="733" t="s">
        <v>407</v>
      </c>
    </row>
    <row r="190" spans="1:8">
      <c r="A190" s="2694" t="s">
        <v>420</v>
      </c>
      <c r="B190" s="2681" t="s">
        <v>421</v>
      </c>
      <c r="C190" s="2684">
        <f>Outline_X_and_Y!R39</f>
        <v>1.2</v>
      </c>
      <c r="D190" s="2682">
        <f t="shared" si="17"/>
        <v>1.2</v>
      </c>
      <c r="H190" s="2681" t="s">
        <v>124</v>
      </c>
    </row>
    <row r="191" spans="1:8">
      <c r="A191" s="2694" t="s">
        <v>420</v>
      </c>
      <c r="B191" s="2681" t="s">
        <v>422</v>
      </c>
      <c r="C191" s="2684">
        <f>Outline_X_and_Y!U56</f>
        <v>2</v>
      </c>
      <c r="D191" s="2682">
        <f t="shared" si="17"/>
        <v>2</v>
      </c>
      <c r="H191" s="2681" t="s">
        <v>124</v>
      </c>
    </row>
  </sheetData>
  <pageMargins left="0.75" right="0.75" top="1" bottom="1" header="0.5" footer="0.5"/>
  <pageSetup paperSize="9" orientation="portrait"/>
  <headerFooter/>
  <drawing r:id="rId1"/>
  <picture r:id="rId2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2"/>
  <dimension ref="A1:N25"/>
  <sheetViews>
    <sheetView workbookViewId="0">
      <selection activeCell="B2" sqref="B2:B4"/>
    </sheetView>
  </sheetViews>
  <sheetFormatPr defaultColWidth="9" defaultRowHeight="14.4"/>
  <cols>
    <col min="1" max="1" width="13.3333333333333" customWidth="1"/>
    <col min="2" max="2" width="23.1111111111111" customWidth="1"/>
    <col min="3" max="3" width="11.2222222222222" customWidth="1"/>
    <col min="4" max="4" width="16.4444444444444" customWidth="1"/>
    <col min="5" max="10" width="20.4444444444444" customWidth="1"/>
    <col min="11" max="11" width="23.3333333333333" customWidth="1"/>
    <col min="12" max="12" width="7.77777777777778" hidden="1" customWidth="1"/>
    <col min="13" max="13" width="40" customWidth="1"/>
    <col min="14" max="14" width="16.2222222222222" customWidth="1"/>
  </cols>
  <sheetData>
    <row r="1" ht="17.4" spans="1:14">
      <c r="A1" s="699" t="s">
        <v>2084</v>
      </c>
      <c r="B1" s="699" t="s">
        <v>2085</v>
      </c>
      <c r="C1" s="699" t="s">
        <v>2271</v>
      </c>
      <c r="D1" s="699" t="s">
        <v>2086</v>
      </c>
      <c r="E1" s="699" t="s">
        <v>2090</v>
      </c>
      <c r="F1" s="700" t="s">
        <v>1087</v>
      </c>
      <c r="G1" s="700" t="s">
        <v>2092</v>
      </c>
      <c r="H1" s="700" t="s">
        <v>2093</v>
      </c>
      <c r="I1" s="700" t="s">
        <v>2272</v>
      </c>
      <c r="J1" s="700" t="s">
        <v>443</v>
      </c>
      <c r="K1" s="699" t="s">
        <v>2094</v>
      </c>
      <c r="L1" s="699" t="s">
        <v>2273</v>
      </c>
      <c r="M1" s="699" t="s">
        <v>113</v>
      </c>
      <c r="N1" s="699" t="s">
        <v>2095</v>
      </c>
    </row>
    <row r="2" s="527" customFormat="1" ht="16.5" customHeight="1" spans="1:14">
      <c r="A2" s="701" t="s">
        <v>1059</v>
      </c>
      <c r="B2" s="702" t="s">
        <v>2274</v>
      </c>
      <c r="C2" s="703">
        <v>0.993</v>
      </c>
      <c r="D2" s="704">
        <v>0.1</v>
      </c>
      <c r="E2" s="705">
        <v>1.051</v>
      </c>
      <c r="F2" s="706">
        <v>2.5</v>
      </c>
      <c r="G2" s="707" t="s">
        <v>2275</v>
      </c>
      <c r="H2" s="708"/>
      <c r="I2" s="708">
        <v>0.75</v>
      </c>
      <c r="J2" s="708" t="s">
        <v>1059</v>
      </c>
      <c r="K2" s="736" t="s">
        <v>2276</v>
      </c>
      <c r="L2" s="737"/>
      <c r="M2" s="738" t="s">
        <v>2277</v>
      </c>
      <c r="N2" s="710" t="s">
        <v>12</v>
      </c>
    </row>
    <row r="3" s="527" customFormat="1" ht="16.5" customHeight="1" spans="1:14">
      <c r="A3" s="709"/>
      <c r="B3" s="710" t="s">
        <v>2278</v>
      </c>
      <c r="C3" s="703">
        <v>0.9744</v>
      </c>
      <c r="D3" s="704">
        <v>0.1</v>
      </c>
      <c r="E3" s="705">
        <v>1.054</v>
      </c>
      <c r="F3" s="706">
        <v>2.75</v>
      </c>
      <c r="G3" s="711"/>
      <c r="H3" s="708"/>
      <c r="I3" s="708">
        <v>0.75</v>
      </c>
      <c r="J3" s="708" t="s">
        <v>1059</v>
      </c>
      <c r="K3" s="739"/>
      <c r="L3" s="737"/>
      <c r="M3" s="740"/>
      <c r="N3" s="710" t="s">
        <v>12</v>
      </c>
    </row>
    <row r="4" s="527" customFormat="1" ht="16.5" customHeight="1" spans="1:14">
      <c r="A4" s="709"/>
      <c r="B4" s="702" t="s">
        <v>2279</v>
      </c>
      <c r="C4" s="703">
        <v>0.996</v>
      </c>
      <c r="D4" s="704">
        <v>0.15</v>
      </c>
      <c r="E4" s="705">
        <v>1.062</v>
      </c>
      <c r="F4" s="706">
        <v>1.75</v>
      </c>
      <c r="G4" s="711"/>
      <c r="H4" s="708"/>
      <c r="I4" s="708">
        <v>0.75</v>
      </c>
      <c r="J4" s="708" t="s">
        <v>1059</v>
      </c>
      <c r="K4" s="739"/>
      <c r="L4" s="737"/>
      <c r="M4" s="740"/>
      <c r="N4" s="710" t="s">
        <v>12</v>
      </c>
    </row>
    <row r="5" s="527" customFormat="1" ht="17.4" spans="1:14">
      <c r="A5" s="709"/>
      <c r="B5" s="710" t="s">
        <v>2280</v>
      </c>
      <c r="C5" s="703">
        <v>0.98</v>
      </c>
      <c r="D5" s="704">
        <v>0.15</v>
      </c>
      <c r="E5" s="705">
        <v>1.067</v>
      </c>
      <c r="F5" s="706">
        <v>1.75</v>
      </c>
      <c r="G5" s="711"/>
      <c r="H5" s="708"/>
      <c r="I5" s="708">
        <v>0.75</v>
      </c>
      <c r="J5" s="708" t="s">
        <v>1059</v>
      </c>
      <c r="K5" s="739"/>
      <c r="L5" s="737"/>
      <c r="M5" s="741"/>
      <c r="N5" s="710" t="s">
        <v>12</v>
      </c>
    </row>
    <row r="6" s="527" customFormat="1" ht="17.25" customHeight="1" spans="1:14">
      <c r="A6" s="709"/>
      <c r="B6" s="710" t="s">
        <v>1942</v>
      </c>
      <c r="C6" s="703">
        <v>0.9776</v>
      </c>
      <c r="D6" s="704">
        <v>0.15</v>
      </c>
      <c r="E6" s="705">
        <v>1.0512</v>
      </c>
      <c r="F6" s="706">
        <v>1.5</v>
      </c>
      <c r="G6" s="711"/>
      <c r="H6" s="708"/>
      <c r="I6" s="708">
        <v>0.75</v>
      </c>
      <c r="J6" s="708" t="s">
        <v>1059</v>
      </c>
      <c r="K6" s="739"/>
      <c r="L6" s="737"/>
      <c r="M6" s="742" t="s">
        <v>2281</v>
      </c>
      <c r="N6" s="710" t="s">
        <v>12</v>
      </c>
    </row>
    <row r="7" s="527" customFormat="1" ht="17.4" spans="1:14">
      <c r="A7" s="709"/>
      <c r="B7" s="710" t="s">
        <v>1987</v>
      </c>
      <c r="C7" s="712">
        <v>0.98</v>
      </c>
      <c r="D7" s="704">
        <v>0.188</v>
      </c>
      <c r="E7" s="705">
        <v>1.051</v>
      </c>
      <c r="F7" s="706">
        <v>1.75</v>
      </c>
      <c r="G7" s="711"/>
      <c r="H7" s="708"/>
      <c r="I7" s="708">
        <v>0.75</v>
      </c>
      <c r="J7" s="708" t="s">
        <v>1059</v>
      </c>
      <c r="K7" s="739"/>
      <c r="L7" s="737"/>
      <c r="M7" s="743"/>
      <c r="N7" s="710" t="s">
        <v>12</v>
      </c>
    </row>
    <row r="8" s="527" customFormat="1" ht="17.4" spans="1:14">
      <c r="A8" s="713"/>
      <c r="B8" s="710" t="s">
        <v>2282</v>
      </c>
      <c r="C8" s="714">
        <v>0.98</v>
      </c>
      <c r="D8" s="704">
        <v>0.225</v>
      </c>
      <c r="E8" s="715">
        <v>1.067</v>
      </c>
      <c r="F8" s="706">
        <v>2</v>
      </c>
      <c r="G8" s="711"/>
      <c r="H8" s="708"/>
      <c r="I8" s="708">
        <v>0.75</v>
      </c>
      <c r="J8" s="708" t="s">
        <v>1059</v>
      </c>
      <c r="K8" s="744"/>
      <c r="L8" s="737"/>
      <c r="M8" s="745"/>
      <c r="N8" s="710" t="s">
        <v>12</v>
      </c>
    </row>
    <row r="9" s="527" customFormat="1" ht="18" customHeight="1" spans="1:14">
      <c r="A9" s="716" t="s">
        <v>2283</v>
      </c>
      <c r="B9" s="717" t="s">
        <v>2284</v>
      </c>
      <c r="C9" s="718">
        <v>0.963</v>
      </c>
      <c r="D9" s="717">
        <v>0.15</v>
      </c>
      <c r="E9" s="717">
        <v>0.995432893882681</v>
      </c>
      <c r="F9" s="719">
        <v>1</v>
      </c>
      <c r="G9" s="720" t="s">
        <v>2285</v>
      </c>
      <c r="H9" s="708"/>
      <c r="I9" s="708">
        <v>0.9</v>
      </c>
      <c r="J9" s="708" t="s">
        <v>2283</v>
      </c>
      <c r="K9" s="736" t="s">
        <v>2286</v>
      </c>
      <c r="L9" s="737"/>
      <c r="M9" s="746" t="s">
        <v>2287</v>
      </c>
      <c r="N9" s="710" t="s">
        <v>12</v>
      </c>
    </row>
    <row r="10" s="527" customFormat="1" ht="16.5" customHeight="1" spans="1:14">
      <c r="A10" s="721"/>
      <c r="B10" s="715" t="s">
        <v>2288</v>
      </c>
      <c r="C10" s="714">
        <v>0.9678</v>
      </c>
      <c r="D10" s="715">
        <v>0.188</v>
      </c>
      <c r="E10" s="715">
        <v>1.01904250342211</v>
      </c>
      <c r="F10" s="706">
        <v>1</v>
      </c>
      <c r="G10" s="722"/>
      <c r="H10" s="708"/>
      <c r="I10" s="708">
        <v>0.9</v>
      </c>
      <c r="J10" s="708" t="s">
        <v>2283</v>
      </c>
      <c r="K10" s="739"/>
      <c r="L10" s="737"/>
      <c r="M10" s="746"/>
      <c r="N10" s="710" t="s">
        <v>12</v>
      </c>
    </row>
    <row r="11" s="527" customFormat="1" ht="17.4" spans="1:14">
      <c r="A11" s="721"/>
      <c r="B11" s="715" t="s">
        <v>2000</v>
      </c>
      <c r="C11" s="714">
        <v>0.9584</v>
      </c>
      <c r="D11" s="715">
        <v>0.11</v>
      </c>
      <c r="E11" s="715">
        <v>1</v>
      </c>
      <c r="F11" s="706">
        <v>1.75</v>
      </c>
      <c r="G11" s="722"/>
      <c r="H11" s="708"/>
      <c r="I11" s="708">
        <v>0.9</v>
      </c>
      <c r="J11" s="708" t="s">
        <v>2283</v>
      </c>
      <c r="K11" s="739"/>
      <c r="L11" s="737"/>
      <c r="M11" s="746"/>
      <c r="N11" s="710" t="s">
        <v>12</v>
      </c>
    </row>
    <row r="12" s="698" customFormat="1" ht="17.4" spans="1:14">
      <c r="A12" s="721"/>
      <c r="B12" s="715" t="s">
        <v>1973</v>
      </c>
      <c r="C12" s="714">
        <v>0.9586</v>
      </c>
      <c r="D12" s="715">
        <v>0.16</v>
      </c>
      <c r="E12" s="715">
        <v>1.02076675320824</v>
      </c>
      <c r="F12" s="706">
        <v>1.5</v>
      </c>
      <c r="G12" s="722"/>
      <c r="H12" s="708"/>
      <c r="I12" s="708">
        <v>0.9</v>
      </c>
      <c r="J12" s="708" t="s">
        <v>2283</v>
      </c>
      <c r="K12" s="739"/>
      <c r="L12" s="737"/>
      <c r="M12" s="746"/>
      <c r="N12" s="710" t="s">
        <v>12</v>
      </c>
    </row>
    <row r="13" s="527" customFormat="1" ht="17.4" spans="1:14">
      <c r="A13" s="721"/>
      <c r="B13" s="705" t="s">
        <v>2289</v>
      </c>
      <c r="C13" s="723">
        <v>0.9662</v>
      </c>
      <c r="D13" s="705">
        <v>0.11</v>
      </c>
      <c r="E13" s="705">
        <v>1.02789101967676</v>
      </c>
      <c r="F13" s="706">
        <v>2.25</v>
      </c>
      <c r="G13" s="722"/>
      <c r="H13" s="708"/>
      <c r="I13" s="708">
        <v>0.9</v>
      </c>
      <c r="J13" s="708" t="s">
        <v>2283</v>
      </c>
      <c r="K13" s="739"/>
      <c r="L13" s="710"/>
      <c r="M13" s="705"/>
      <c r="N13" s="710" t="s">
        <v>12</v>
      </c>
    </row>
    <row r="14" s="527" customFormat="1" ht="17.4" spans="1:14">
      <c r="A14" s="721"/>
      <c r="B14" s="705" t="s">
        <v>2290</v>
      </c>
      <c r="C14" s="723">
        <v>0.972</v>
      </c>
      <c r="D14" s="705">
        <v>0.16</v>
      </c>
      <c r="E14" s="705">
        <v>1.04598738182804</v>
      </c>
      <c r="F14" s="706">
        <v>2</v>
      </c>
      <c r="G14" s="722"/>
      <c r="H14" s="708"/>
      <c r="I14" s="708">
        <v>0.9</v>
      </c>
      <c r="J14" s="708" t="s">
        <v>2283</v>
      </c>
      <c r="K14" s="739"/>
      <c r="L14" s="710"/>
      <c r="M14" s="705"/>
      <c r="N14" s="710" t="s">
        <v>12</v>
      </c>
    </row>
    <row r="15" s="527" customFormat="1" ht="17.4" spans="1:14">
      <c r="A15" s="724"/>
      <c r="B15" s="705" t="s">
        <v>2291</v>
      </c>
      <c r="C15" s="723">
        <v>0.975</v>
      </c>
      <c r="D15" s="705">
        <v>0.198</v>
      </c>
      <c r="E15" s="705">
        <v>1.05543622</v>
      </c>
      <c r="F15" s="706" t="s">
        <v>2101</v>
      </c>
      <c r="G15" s="725"/>
      <c r="H15" s="708"/>
      <c r="I15" s="708">
        <v>0.9</v>
      </c>
      <c r="J15" s="708" t="s">
        <v>2283</v>
      </c>
      <c r="K15" s="744"/>
      <c r="L15" s="710"/>
      <c r="M15" s="705"/>
      <c r="N15" s="710" t="s">
        <v>12</v>
      </c>
    </row>
    <row r="16" ht="21.75" customHeight="1" spans="1:14">
      <c r="A16" s="726" t="s">
        <v>2292</v>
      </c>
      <c r="B16" s="715" t="s">
        <v>2007</v>
      </c>
      <c r="C16" s="714">
        <v>0.9628</v>
      </c>
      <c r="D16" s="715">
        <v>0.095</v>
      </c>
      <c r="E16" s="715">
        <v>1.08959104317912</v>
      </c>
      <c r="F16" s="706">
        <v>28.75</v>
      </c>
      <c r="G16" s="711"/>
      <c r="H16" s="708"/>
      <c r="I16" s="708">
        <v>1.3</v>
      </c>
      <c r="J16" s="708" t="s">
        <v>2292</v>
      </c>
      <c r="K16" s="737"/>
      <c r="L16" s="710"/>
      <c r="M16" s="705"/>
      <c r="N16" s="710" t="s">
        <v>12</v>
      </c>
    </row>
    <row r="17" ht="29.25" customHeight="1" spans="1:14">
      <c r="A17" s="726"/>
      <c r="B17" s="715" t="s">
        <v>2293</v>
      </c>
      <c r="C17" s="714">
        <v>0.9462</v>
      </c>
      <c r="D17" s="715">
        <v>0.1</v>
      </c>
      <c r="E17" s="715">
        <v>1.08216231670585</v>
      </c>
      <c r="F17" s="727" t="s">
        <v>2101</v>
      </c>
      <c r="G17" s="728"/>
      <c r="H17" s="708"/>
      <c r="I17" s="708">
        <v>1.3</v>
      </c>
      <c r="J17" s="708" t="s">
        <v>2292</v>
      </c>
      <c r="K17" s="710"/>
      <c r="L17" s="710"/>
      <c r="M17" s="705"/>
      <c r="N17" s="710" t="s">
        <v>1280</v>
      </c>
    </row>
    <row r="18" ht="29.25" customHeight="1" spans="1:14">
      <c r="A18" s="729" t="s">
        <v>2294</v>
      </c>
      <c r="B18" s="705" t="s">
        <v>871</v>
      </c>
      <c r="C18" s="723">
        <v>0.963</v>
      </c>
      <c r="D18" s="705">
        <v>0.16</v>
      </c>
      <c r="E18" s="705">
        <v>0.997</v>
      </c>
      <c r="F18" s="727">
        <v>1.5</v>
      </c>
      <c r="G18" s="705"/>
      <c r="H18" s="708"/>
      <c r="I18" s="708">
        <v>0.9</v>
      </c>
      <c r="J18" s="708" t="s">
        <v>2294</v>
      </c>
      <c r="K18" s="710"/>
      <c r="L18" s="710"/>
      <c r="M18" s="727"/>
      <c r="N18" s="710" t="s">
        <v>1280</v>
      </c>
    </row>
    <row r="19" ht="15.6" spans="1:14">
      <c r="A19" s="730"/>
      <c r="B19" s="730"/>
      <c r="C19" s="730"/>
      <c r="D19" s="730"/>
      <c r="E19" s="730"/>
      <c r="F19" s="730"/>
      <c r="G19" s="730"/>
      <c r="H19" s="730"/>
      <c r="I19" s="730"/>
      <c r="J19" s="730"/>
      <c r="K19" s="730"/>
      <c r="L19" s="730"/>
      <c r="M19" s="730"/>
      <c r="N19" s="747"/>
    </row>
    <row r="20" ht="13.5" customHeight="1" spans="1:14">
      <c r="A20" s="731" t="s">
        <v>2121</v>
      </c>
      <c r="B20" s="732" t="s">
        <v>2295</v>
      </c>
      <c r="C20" s="732"/>
      <c r="D20" s="732"/>
      <c r="E20" s="732"/>
      <c r="F20" s="732"/>
      <c r="G20" s="732"/>
      <c r="H20" s="732"/>
      <c r="I20" s="732"/>
      <c r="J20" s="732"/>
      <c r="K20" s="732"/>
      <c r="L20" s="732"/>
      <c r="M20" s="732"/>
      <c r="N20" s="732"/>
    </row>
    <row r="21" ht="13.5" customHeight="1" spans="1:14">
      <c r="A21" s="731"/>
      <c r="B21" s="732"/>
      <c r="C21" s="732"/>
      <c r="D21" s="732"/>
      <c r="E21" s="732"/>
      <c r="F21" s="732"/>
      <c r="G21" s="732"/>
      <c r="H21" s="732"/>
      <c r="I21" s="732"/>
      <c r="J21" s="732"/>
      <c r="K21" s="732"/>
      <c r="L21" s="732"/>
      <c r="M21" s="732"/>
      <c r="N21" s="732"/>
    </row>
    <row r="22" ht="13.5" customHeight="1" spans="1:14">
      <c r="A22" s="731"/>
      <c r="B22" s="732"/>
      <c r="C22" s="732"/>
      <c r="D22" s="732"/>
      <c r="E22" s="732"/>
      <c r="F22" s="732"/>
      <c r="G22" s="732"/>
      <c r="H22" s="732"/>
      <c r="I22" s="732"/>
      <c r="J22" s="732"/>
      <c r="K22" s="732"/>
      <c r="L22" s="732"/>
      <c r="M22" s="732"/>
      <c r="N22" s="732"/>
    </row>
    <row r="23" ht="13.5" customHeight="1" spans="1:14">
      <c r="A23" s="731"/>
      <c r="B23" s="732"/>
      <c r="C23" s="732"/>
      <c r="D23" s="732"/>
      <c r="E23" s="732"/>
      <c r="F23" s="732"/>
      <c r="G23" s="732"/>
      <c r="H23" s="732"/>
      <c r="I23" s="732"/>
      <c r="J23" s="732"/>
      <c r="K23" s="732"/>
      <c r="L23" s="732"/>
      <c r="M23" s="732"/>
      <c r="N23" s="732"/>
    </row>
    <row r="24" spans="1:14">
      <c r="A24" s="733"/>
      <c r="B24" s="733"/>
      <c r="C24" s="733"/>
      <c r="D24" s="733"/>
      <c r="E24" s="733"/>
      <c r="F24" s="733"/>
      <c r="G24" s="733"/>
      <c r="H24" s="733"/>
      <c r="I24" s="733"/>
      <c r="J24" s="733"/>
      <c r="K24" s="733"/>
      <c r="L24" s="733"/>
      <c r="M24" s="733"/>
      <c r="N24" s="733"/>
    </row>
    <row r="25" ht="17.4" spans="1:14">
      <c r="A25" s="734" t="s">
        <v>2296</v>
      </c>
      <c r="B25" s="735" t="s">
        <v>2297</v>
      </c>
      <c r="C25" s="735"/>
      <c r="D25" s="735"/>
      <c r="E25" s="735"/>
      <c r="F25" s="735"/>
      <c r="G25" s="735"/>
      <c r="H25" s="735"/>
      <c r="I25" s="735"/>
      <c r="J25" s="735"/>
      <c r="K25" s="735"/>
      <c r="L25" s="735"/>
      <c r="M25" s="735"/>
      <c r="N25" s="735"/>
    </row>
  </sheetData>
  <mergeCells count="15">
    <mergeCell ref="B25:N25"/>
    <mergeCell ref="A2:A8"/>
    <mergeCell ref="A9:A15"/>
    <mergeCell ref="A16:A17"/>
    <mergeCell ref="A20:A23"/>
    <mergeCell ref="G2:G7"/>
    <mergeCell ref="G9:G15"/>
    <mergeCell ref="G16:G17"/>
    <mergeCell ref="K2:K8"/>
    <mergeCell ref="K9:K15"/>
    <mergeCell ref="K16:K17"/>
    <mergeCell ref="L2:L7"/>
    <mergeCell ref="M2:M5"/>
    <mergeCell ref="M6:M8"/>
    <mergeCell ref="B20:N23"/>
  </mergeCells>
  <pageMargins left="0.7" right="0.7" top="0.75" bottom="0.75" header="0.3" footer="0.3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3"/>
  <dimension ref="A1:AF99"/>
  <sheetViews>
    <sheetView zoomScale="70" zoomScaleNormal="70" workbookViewId="0">
      <pane xSplit="2" ySplit="2" topLeftCell="C46" activePane="bottomRight" state="frozen"/>
      <selection/>
      <selection pane="topRight"/>
      <selection pane="bottomLeft"/>
      <selection pane="bottomRight" activeCell="B20" sqref="$A20:$XFD20"/>
    </sheetView>
  </sheetViews>
  <sheetFormatPr defaultColWidth="9" defaultRowHeight="14.4"/>
  <cols>
    <col min="1" max="1" width="40.1111111111111" style="533" customWidth="1"/>
    <col min="2" max="2" width="54.4444444444444" customWidth="1"/>
    <col min="3" max="4" width="19.6666666666667" customWidth="1"/>
    <col min="5" max="5" width="18.4444444444444" customWidth="1"/>
    <col min="6" max="6" width="9.22222222222222" customWidth="1"/>
    <col min="7" max="7" width="12.4444444444444" customWidth="1"/>
    <col min="8" max="8" width="11" customWidth="1"/>
    <col min="9" max="9" width="11.3333333333333" customWidth="1"/>
    <col min="10" max="10" width="15.8888888888889" style="3" customWidth="1"/>
    <col min="11" max="11" width="21" style="3" customWidth="1"/>
    <col min="12" max="12" width="56" style="3" customWidth="1"/>
    <col min="13" max="13" width="20.6666666666667" style="3" customWidth="1"/>
    <col min="14" max="14" width="22.2222222222222" style="3" customWidth="1"/>
    <col min="15" max="15" width="22.2222222222222" style="534" customWidth="1"/>
    <col min="16" max="16" width="12" style="3" customWidth="1"/>
    <col min="17" max="18" width="9.33333333333333" style="3" customWidth="1"/>
    <col min="19" max="19" width="17.6666666666667" style="3" customWidth="1"/>
    <col min="20" max="20" width="12.4444444444444" style="3" customWidth="1"/>
    <col min="21" max="22" width="13.8888888888889" style="3" customWidth="1"/>
    <col min="23" max="23" width="21.1111111111111" style="3" customWidth="1"/>
    <col min="24" max="24" width="18.6666666666667" style="3" customWidth="1"/>
    <col min="25" max="25" width="16.2222222222222" style="3" customWidth="1"/>
    <col min="26" max="26" width="24.8888888888889" style="3" customWidth="1"/>
    <col min="27" max="27" width="32.4444444444444" style="3" customWidth="1"/>
    <col min="28" max="28" width="20.1111111111111" style="3" customWidth="1"/>
    <col min="29" max="29" width="32.1111111111111" style="3" customWidth="1"/>
    <col min="30" max="30" width="33.7777777777778" style="3" customWidth="1"/>
    <col min="31" max="31" width="40.8888888888889" style="3" customWidth="1"/>
    <col min="32" max="32" width="19.2222222222222" style="3" customWidth="1"/>
  </cols>
  <sheetData>
    <row r="1" ht="17.25" customHeight="1" spans="1:32">
      <c r="A1" s="535" t="s">
        <v>2084</v>
      </c>
      <c r="B1" s="536" t="s">
        <v>2298</v>
      </c>
      <c r="C1" s="537" t="s">
        <v>1087</v>
      </c>
      <c r="D1" s="537" t="s">
        <v>2092</v>
      </c>
      <c r="E1" s="537" t="s">
        <v>2093</v>
      </c>
      <c r="F1" s="538" t="s">
        <v>1387</v>
      </c>
      <c r="G1" s="539"/>
      <c r="H1" s="540"/>
      <c r="I1" s="588" t="s">
        <v>2299</v>
      </c>
      <c r="J1" s="589"/>
      <c r="K1" s="590" t="s">
        <v>2300</v>
      </c>
      <c r="L1" s="591" t="s">
        <v>2301</v>
      </c>
      <c r="M1" s="590" t="s">
        <v>2302</v>
      </c>
      <c r="N1" s="590"/>
      <c r="O1" s="592" t="s">
        <v>2303</v>
      </c>
      <c r="P1" s="590" t="s">
        <v>2304</v>
      </c>
      <c r="Q1" s="590"/>
      <c r="R1" s="590"/>
      <c r="S1" s="606" t="s">
        <v>2305</v>
      </c>
      <c r="T1" s="606"/>
      <c r="U1" s="606" t="s">
        <v>2306</v>
      </c>
      <c r="V1" s="606"/>
      <c r="W1" s="606"/>
      <c r="X1" s="606"/>
      <c r="Y1" s="606"/>
      <c r="Z1" s="590" t="s">
        <v>2307</v>
      </c>
      <c r="AA1" s="606" t="s">
        <v>2308</v>
      </c>
      <c r="AB1" s="606"/>
      <c r="AC1" s="606" t="s">
        <v>2309</v>
      </c>
      <c r="AD1" s="612" t="s">
        <v>2310</v>
      </c>
      <c r="AE1" s="612" t="s">
        <v>2311</v>
      </c>
      <c r="AF1"/>
    </row>
    <row r="2" ht="34.8" spans="1:32">
      <c r="A2" s="541"/>
      <c r="B2" s="542"/>
      <c r="C2" s="543"/>
      <c r="D2" s="543"/>
      <c r="E2" s="543"/>
      <c r="F2" s="542" t="s">
        <v>2312</v>
      </c>
      <c r="G2" s="544" t="s">
        <v>2313</v>
      </c>
      <c r="H2" s="544" t="s">
        <v>105</v>
      </c>
      <c r="I2" s="151" t="s">
        <v>30</v>
      </c>
      <c r="J2" s="151" t="s">
        <v>2314</v>
      </c>
      <c r="K2" s="151" t="s">
        <v>2315</v>
      </c>
      <c r="L2" s="593"/>
      <c r="M2" s="151" t="s">
        <v>2316</v>
      </c>
      <c r="N2" s="151" t="s">
        <v>2317</v>
      </c>
      <c r="O2" s="594" t="s">
        <v>2318</v>
      </c>
      <c r="P2" s="151" t="s">
        <v>2319</v>
      </c>
      <c r="Q2" s="151" t="s">
        <v>2320</v>
      </c>
      <c r="R2" s="151" t="s">
        <v>2321</v>
      </c>
      <c r="S2" s="151" t="s">
        <v>2322</v>
      </c>
      <c r="T2" s="607" t="s">
        <v>2323</v>
      </c>
      <c r="U2" s="151" t="s">
        <v>2324</v>
      </c>
      <c r="V2" s="151" t="s">
        <v>2325</v>
      </c>
      <c r="W2" s="607" t="s">
        <v>2326</v>
      </c>
      <c r="X2" s="607" t="s">
        <v>2327</v>
      </c>
      <c r="Y2" s="151" t="s">
        <v>2328</v>
      </c>
      <c r="Z2" s="607"/>
      <c r="AA2" s="607" t="s">
        <v>2329</v>
      </c>
      <c r="AB2" s="613" t="s">
        <v>2330</v>
      </c>
      <c r="AC2" s="607"/>
      <c r="AD2" s="614"/>
      <c r="AE2" s="614"/>
      <c r="AF2"/>
    </row>
    <row r="3" s="527" customFormat="1" ht="17.25" customHeight="1" spans="1:32">
      <c r="A3" s="545" t="s">
        <v>2331</v>
      </c>
      <c r="B3" s="546" t="s">
        <v>2332</v>
      </c>
      <c r="C3" s="546">
        <v>0.5</v>
      </c>
      <c r="D3" s="547"/>
      <c r="E3" s="548"/>
      <c r="F3" s="546">
        <v>3</v>
      </c>
      <c r="G3" s="546">
        <v>0.85</v>
      </c>
      <c r="H3" s="546">
        <v>0.6</v>
      </c>
      <c r="I3" s="546">
        <v>20</v>
      </c>
      <c r="J3" s="546" t="s">
        <v>2333</v>
      </c>
      <c r="K3" s="546">
        <v>2.85</v>
      </c>
      <c r="L3" s="546" t="s">
        <v>2334</v>
      </c>
      <c r="M3" s="546" t="s">
        <v>2335</v>
      </c>
      <c r="N3" s="546" t="s">
        <v>2336</v>
      </c>
      <c r="O3" s="595" t="s">
        <v>2337</v>
      </c>
      <c r="P3" s="546">
        <v>120</v>
      </c>
      <c r="Q3" s="546">
        <v>120</v>
      </c>
      <c r="R3" s="546" t="s">
        <v>2338</v>
      </c>
      <c r="S3" s="546" t="s">
        <v>2069</v>
      </c>
      <c r="T3" s="546" t="s">
        <v>2339</v>
      </c>
      <c r="U3" s="546" t="s">
        <v>2340</v>
      </c>
      <c r="V3" s="546"/>
      <c r="W3" s="608" t="s">
        <v>2341</v>
      </c>
      <c r="X3" s="546" t="s">
        <v>2342</v>
      </c>
      <c r="Y3" s="546">
        <v>2</v>
      </c>
      <c r="Z3" s="608" t="s">
        <v>2343</v>
      </c>
      <c r="AA3" s="608" t="s">
        <v>2344</v>
      </c>
      <c r="AB3" s="615" t="s">
        <v>2345</v>
      </c>
      <c r="AC3" s="616"/>
      <c r="AD3" s="617"/>
      <c r="AE3" s="618"/>
      <c r="AF3" s="619" t="s">
        <v>1901</v>
      </c>
    </row>
    <row r="4" s="527" customFormat="1" ht="17.25" customHeight="1" spans="1:32">
      <c r="A4" s="545"/>
      <c r="B4" s="546" t="s">
        <v>2081</v>
      </c>
      <c r="C4" s="546">
        <v>0.5</v>
      </c>
      <c r="D4" s="547"/>
      <c r="E4" s="548"/>
      <c r="F4" s="546">
        <v>3</v>
      </c>
      <c r="G4" s="546">
        <v>0.85</v>
      </c>
      <c r="H4" s="546">
        <v>0.6</v>
      </c>
      <c r="I4" s="546">
        <v>20</v>
      </c>
      <c r="J4" s="546" t="s">
        <v>2333</v>
      </c>
      <c r="K4" s="546">
        <v>2.85</v>
      </c>
      <c r="L4" s="546" t="s">
        <v>2346</v>
      </c>
      <c r="M4" s="546" t="s">
        <v>2347</v>
      </c>
      <c r="N4" s="546" t="s">
        <v>2348</v>
      </c>
      <c r="O4" s="595" t="s">
        <v>2337</v>
      </c>
      <c r="P4" s="546">
        <v>120</v>
      </c>
      <c r="Q4" s="546">
        <v>120</v>
      </c>
      <c r="R4" s="546" t="s">
        <v>2349</v>
      </c>
      <c r="S4" s="546" t="s">
        <v>2069</v>
      </c>
      <c r="T4" s="546" t="s">
        <v>2339</v>
      </c>
      <c r="U4" s="546" t="s">
        <v>2340</v>
      </c>
      <c r="V4" s="546"/>
      <c r="W4" s="608" t="s">
        <v>2341</v>
      </c>
      <c r="X4" s="546" t="s">
        <v>2342</v>
      </c>
      <c r="Y4" s="546">
        <v>2</v>
      </c>
      <c r="Z4" s="608" t="s">
        <v>2343</v>
      </c>
      <c r="AA4" s="608" t="s">
        <v>2344</v>
      </c>
      <c r="AB4" s="615" t="s">
        <v>2345</v>
      </c>
      <c r="AC4" s="616"/>
      <c r="AD4" s="617"/>
      <c r="AE4" s="618"/>
      <c r="AF4" s="619" t="s">
        <v>1901</v>
      </c>
    </row>
    <row r="5" s="527" customFormat="1" ht="17.25" customHeight="1" spans="1:32">
      <c r="A5" s="545"/>
      <c r="B5" s="546" t="s">
        <v>2350</v>
      </c>
      <c r="C5" s="546">
        <v>0.5</v>
      </c>
      <c r="D5" s="547"/>
      <c r="E5" s="548"/>
      <c r="F5" s="546">
        <v>3.8</v>
      </c>
      <c r="G5" s="546">
        <v>0.85</v>
      </c>
      <c r="H5" s="546">
        <v>0.4</v>
      </c>
      <c r="I5" s="546">
        <v>20</v>
      </c>
      <c r="J5" s="546" t="s">
        <v>2333</v>
      </c>
      <c r="K5" s="546">
        <v>5.9</v>
      </c>
      <c r="L5" s="546" t="s">
        <v>2351</v>
      </c>
      <c r="M5" s="546" t="s">
        <v>2352</v>
      </c>
      <c r="N5" s="546" t="s">
        <v>2353</v>
      </c>
      <c r="O5" s="595" t="s">
        <v>2337</v>
      </c>
      <c r="P5" s="546">
        <v>120</v>
      </c>
      <c r="Q5" s="546">
        <v>120</v>
      </c>
      <c r="R5" s="546" t="s">
        <v>2349</v>
      </c>
      <c r="S5" s="546" t="s">
        <v>2069</v>
      </c>
      <c r="T5" s="546" t="s">
        <v>2339</v>
      </c>
      <c r="U5" s="546" t="s">
        <v>2354</v>
      </c>
      <c r="V5" s="546"/>
      <c r="W5" s="608" t="s">
        <v>2341</v>
      </c>
      <c r="X5" s="546" t="s">
        <v>2342</v>
      </c>
      <c r="Y5" s="546">
        <v>2</v>
      </c>
      <c r="Z5" s="608" t="s">
        <v>2343</v>
      </c>
      <c r="AA5" s="608" t="s">
        <v>2344</v>
      </c>
      <c r="AB5" s="615" t="s">
        <v>2345</v>
      </c>
      <c r="AC5" s="616"/>
      <c r="AD5" s="617"/>
      <c r="AE5" s="618"/>
      <c r="AF5" s="619" t="s">
        <v>1901</v>
      </c>
    </row>
    <row r="6" s="528" customFormat="1" ht="17.25" customHeight="1" spans="1:32">
      <c r="A6" s="545"/>
      <c r="B6" s="546" t="s">
        <v>2355</v>
      </c>
      <c r="C6" s="546">
        <v>1.4</v>
      </c>
      <c r="D6" s="547"/>
      <c r="E6" s="548"/>
      <c r="F6" s="546">
        <v>3.1</v>
      </c>
      <c r="G6" s="546">
        <v>0.65</v>
      </c>
      <c r="H6" s="546">
        <v>0.5</v>
      </c>
      <c r="I6" s="546">
        <v>22</v>
      </c>
      <c r="J6" s="546" t="s">
        <v>2356</v>
      </c>
      <c r="K6" s="546">
        <v>5.7</v>
      </c>
      <c r="L6" s="546" t="s">
        <v>2357</v>
      </c>
      <c r="M6" s="546" t="s">
        <v>2358</v>
      </c>
      <c r="N6" s="546" t="s">
        <v>2359</v>
      </c>
      <c r="O6" s="595"/>
      <c r="P6" s="546">
        <v>120</v>
      </c>
      <c r="Q6" s="546">
        <v>120</v>
      </c>
      <c r="R6" s="546" t="s">
        <v>2349</v>
      </c>
      <c r="S6" s="546" t="s">
        <v>2069</v>
      </c>
      <c r="T6" s="546" t="s">
        <v>2360</v>
      </c>
      <c r="U6" s="546" t="s">
        <v>2354</v>
      </c>
      <c r="V6" s="546"/>
      <c r="W6" s="608" t="s">
        <v>2341</v>
      </c>
      <c r="X6" s="546" t="s">
        <v>2361</v>
      </c>
      <c r="Y6" s="546">
        <v>2</v>
      </c>
      <c r="Z6" s="608" t="s">
        <v>1280</v>
      </c>
      <c r="AA6" s="608" t="s">
        <v>2344</v>
      </c>
      <c r="AB6" s="620" t="s">
        <v>2362</v>
      </c>
      <c r="AC6" s="616"/>
      <c r="AD6" s="617"/>
      <c r="AE6" s="618"/>
      <c r="AF6" s="619" t="s">
        <v>1901</v>
      </c>
    </row>
    <row r="7" s="528" customFormat="1" ht="17.25" customHeight="1" spans="1:32">
      <c r="A7" s="545"/>
      <c r="B7" s="546" t="s">
        <v>2363</v>
      </c>
      <c r="C7" s="546">
        <v>0.9</v>
      </c>
      <c r="D7" s="547"/>
      <c r="E7" s="548"/>
      <c r="F7" s="546">
        <v>4.2</v>
      </c>
      <c r="G7" s="546">
        <v>1</v>
      </c>
      <c r="H7" s="546">
        <v>0.6</v>
      </c>
      <c r="I7" s="546">
        <v>20</v>
      </c>
      <c r="J7" s="546" t="s">
        <v>2333</v>
      </c>
      <c r="K7" s="546">
        <v>5.75</v>
      </c>
      <c r="L7" s="546" t="s">
        <v>2364</v>
      </c>
      <c r="M7" s="546">
        <v>5600</v>
      </c>
      <c r="N7" s="546">
        <v>16</v>
      </c>
      <c r="O7" s="595" t="s">
        <v>2337</v>
      </c>
      <c r="P7" s="546">
        <v>120</v>
      </c>
      <c r="Q7" s="546">
        <v>120</v>
      </c>
      <c r="R7" s="546" t="s">
        <v>2338</v>
      </c>
      <c r="S7" s="546" t="s">
        <v>2069</v>
      </c>
      <c r="T7" s="546" t="s">
        <v>2360</v>
      </c>
      <c r="U7" s="546" t="s">
        <v>2354</v>
      </c>
      <c r="V7" s="546"/>
      <c r="W7" s="608" t="s">
        <v>2341</v>
      </c>
      <c r="X7" s="546" t="s">
        <v>2365</v>
      </c>
      <c r="Y7" s="546">
        <v>2</v>
      </c>
      <c r="Z7" s="608" t="s">
        <v>2343</v>
      </c>
      <c r="AA7" s="608" t="s">
        <v>2344</v>
      </c>
      <c r="AB7" s="615" t="s">
        <v>2362</v>
      </c>
      <c r="AC7" s="616"/>
      <c r="AD7" s="617"/>
      <c r="AE7" s="618"/>
      <c r="AF7" s="619" t="s">
        <v>1901</v>
      </c>
    </row>
    <row r="8" s="527" customFormat="1" ht="17.25" customHeight="1" spans="1:32">
      <c r="A8" s="545"/>
      <c r="B8" s="546" t="s">
        <v>2366</v>
      </c>
      <c r="C8" s="546">
        <v>0.9</v>
      </c>
      <c r="D8" s="547"/>
      <c r="E8" s="548"/>
      <c r="F8" s="546">
        <v>4.2</v>
      </c>
      <c r="G8" s="546">
        <v>1</v>
      </c>
      <c r="H8" s="546">
        <v>0.6</v>
      </c>
      <c r="I8" s="546">
        <v>20</v>
      </c>
      <c r="J8" s="546" t="s">
        <v>2333</v>
      </c>
      <c r="K8" s="546">
        <v>5.75</v>
      </c>
      <c r="L8" s="546" t="s">
        <v>2367</v>
      </c>
      <c r="M8" s="546" t="s">
        <v>2368</v>
      </c>
      <c r="N8" s="546" t="s">
        <v>2369</v>
      </c>
      <c r="O8" s="595" t="s">
        <v>2337</v>
      </c>
      <c r="P8" s="546">
        <v>120</v>
      </c>
      <c r="Q8" s="546">
        <v>120</v>
      </c>
      <c r="R8" s="546" t="s">
        <v>2349</v>
      </c>
      <c r="S8" s="546" t="s">
        <v>2069</v>
      </c>
      <c r="T8" s="546" t="s">
        <v>2339</v>
      </c>
      <c r="U8" s="546" t="s">
        <v>2354</v>
      </c>
      <c r="V8" s="546"/>
      <c r="W8" s="608" t="s">
        <v>2341</v>
      </c>
      <c r="X8" s="546" t="s">
        <v>2342</v>
      </c>
      <c r="Y8" s="546">
        <v>2</v>
      </c>
      <c r="Z8" s="608" t="s">
        <v>2343</v>
      </c>
      <c r="AA8" s="608" t="s">
        <v>2344</v>
      </c>
      <c r="AB8" s="615" t="s">
        <v>2345</v>
      </c>
      <c r="AC8" s="616"/>
      <c r="AD8" s="617"/>
      <c r="AE8" s="618"/>
      <c r="AF8" s="619" t="s">
        <v>1901</v>
      </c>
    </row>
    <row r="9" s="529" customFormat="1" ht="17.25" customHeight="1" spans="1:32">
      <c r="A9" s="545"/>
      <c r="B9" s="546" t="s">
        <v>2370</v>
      </c>
      <c r="C9" s="546">
        <v>0.5</v>
      </c>
      <c r="D9" s="547"/>
      <c r="E9" s="548"/>
      <c r="F9" s="546">
        <v>3</v>
      </c>
      <c r="G9" s="546">
        <v>0.85</v>
      </c>
      <c r="H9" s="549">
        <v>0.6</v>
      </c>
      <c r="I9" s="546">
        <v>20</v>
      </c>
      <c r="J9" s="546" t="s">
        <v>2333</v>
      </c>
      <c r="K9" s="546">
        <v>2.85</v>
      </c>
      <c r="L9" s="546" t="s">
        <v>2371</v>
      </c>
      <c r="M9" s="549" t="s">
        <v>2372</v>
      </c>
      <c r="N9" s="549" t="s">
        <v>2373</v>
      </c>
      <c r="O9" s="595" t="s">
        <v>2337</v>
      </c>
      <c r="P9" s="546">
        <v>120</v>
      </c>
      <c r="Q9" s="546">
        <v>120</v>
      </c>
      <c r="R9" s="546" t="s">
        <v>2374</v>
      </c>
      <c r="S9" s="546" t="s">
        <v>2069</v>
      </c>
      <c r="T9" s="546" t="s">
        <v>2339</v>
      </c>
      <c r="U9" s="546" t="s">
        <v>2340</v>
      </c>
      <c r="V9" s="546"/>
      <c r="W9" s="608" t="s">
        <v>2341</v>
      </c>
      <c r="X9" s="549" t="s">
        <v>2342</v>
      </c>
      <c r="Y9" s="546">
        <v>2</v>
      </c>
      <c r="Z9" s="608" t="s">
        <v>1280</v>
      </c>
      <c r="AA9" s="608" t="s">
        <v>2344</v>
      </c>
      <c r="AB9" s="608" t="s">
        <v>2344</v>
      </c>
      <c r="AC9" s="621"/>
      <c r="AD9" s="622"/>
      <c r="AE9" s="623"/>
      <c r="AF9" s="619" t="s">
        <v>1901</v>
      </c>
    </row>
    <row r="10" s="530" customFormat="1" ht="17.25" customHeight="1" spans="1:32">
      <c r="A10" s="545"/>
      <c r="B10" s="546" t="s">
        <v>2375</v>
      </c>
      <c r="C10" s="546">
        <v>0.55</v>
      </c>
      <c r="D10" s="547"/>
      <c r="E10" s="548"/>
      <c r="F10" s="549">
        <v>3</v>
      </c>
      <c r="G10" s="549">
        <v>0.85</v>
      </c>
      <c r="H10" s="550">
        <v>0.6</v>
      </c>
      <c r="I10" s="549">
        <v>20</v>
      </c>
      <c r="J10" s="549" t="s">
        <v>2333</v>
      </c>
      <c r="K10" s="549">
        <v>2.85</v>
      </c>
      <c r="L10" s="546" t="s">
        <v>2376</v>
      </c>
      <c r="M10" s="549" t="s">
        <v>2377</v>
      </c>
      <c r="N10" s="549" t="s">
        <v>2378</v>
      </c>
      <c r="O10" s="595"/>
      <c r="P10" s="549">
        <v>120</v>
      </c>
      <c r="Q10" s="549">
        <v>120</v>
      </c>
      <c r="R10" s="549" t="s">
        <v>2349</v>
      </c>
      <c r="S10" s="549" t="s">
        <v>2379</v>
      </c>
      <c r="T10" s="549" t="s">
        <v>2360</v>
      </c>
      <c r="U10" s="549" t="s">
        <v>2340</v>
      </c>
      <c r="V10" s="549"/>
      <c r="W10" s="603" t="s">
        <v>1901</v>
      </c>
      <c r="X10" s="549" t="s">
        <v>2380</v>
      </c>
      <c r="Y10" s="549">
        <v>2</v>
      </c>
      <c r="Z10" s="603" t="s">
        <v>1277</v>
      </c>
      <c r="AA10" s="603">
        <v>2</v>
      </c>
      <c r="AB10" s="603" t="s">
        <v>2344</v>
      </c>
      <c r="AC10" s="603" t="s">
        <v>2344</v>
      </c>
      <c r="AD10" s="619"/>
      <c r="AE10" s="618"/>
      <c r="AF10" s="619" t="s">
        <v>1901</v>
      </c>
    </row>
    <row r="11" s="530" customFormat="1" ht="17.25" customHeight="1" spans="1:32">
      <c r="A11" s="545"/>
      <c r="B11" s="546" t="s">
        <v>2381</v>
      </c>
      <c r="C11" s="546">
        <v>1.5</v>
      </c>
      <c r="D11" s="547"/>
      <c r="E11" s="548"/>
      <c r="F11" s="549">
        <v>3.1</v>
      </c>
      <c r="G11" s="549">
        <v>0.65</v>
      </c>
      <c r="H11" s="550">
        <v>0.5</v>
      </c>
      <c r="I11" s="549">
        <v>22</v>
      </c>
      <c r="J11" s="549" t="s">
        <v>2356</v>
      </c>
      <c r="K11" s="549">
        <v>5.7</v>
      </c>
      <c r="L11" s="546" t="s">
        <v>2382</v>
      </c>
      <c r="M11" s="549" t="s">
        <v>2383</v>
      </c>
      <c r="N11" s="549" t="s">
        <v>2384</v>
      </c>
      <c r="O11" s="595"/>
      <c r="P11" s="549">
        <v>120</v>
      </c>
      <c r="Q11" s="549">
        <v>120</v>
      </c>
      <c r="R11" s="549" t="s">
        <v>2349</v>
      </c>
      <c r="S11" s="549" t="s">
        <v>2379</v>
      </c>
      <c r="T11" s="549" t="s">
        <v>2360</v>
      </c>
      <c r="U11" s="549" t="s">
        <v>2354</v>
      </c>
      <c r="V11" s="549"/>
      <c r="W11" s="603" t="s">
        <v>1901</v>
      </c>
      <c r="X11" s="549" t="s">
        <v>2385</v>
      </c>
      <c r="Y11" s="549">
        <v>3</v>
      </c>
      <c r="Z11" s="603" t="s">
        <v>1277</v>
      </c>
      <c r="AA11" s="603">
        <v>1</v>
      </c>
      <c r="AB11" s="603" t="s">
        <v>2344</v>
      </c>
      <c r="AC11" s="603" t="s">
        <v>2344</v>
      </c>
      <c r="AD11" s="619"/>
      <c r="AE11" s="618"/>
      <c r="AF11" s="619" t="s">
        <v>1901</v>
      </c>
    </row>
    <row r="12" s="530" customFormat="1" ht="17.25" customHeight="1" spans="1:32">
      <c r="A12" s="551"/>
      <c r="B12" s="546" t="s">
        <v>2386</v>
      </c>
      <c r="C12" s="546">
        <v>1</v>
      </c>
      <c r="D12" s="552"/>
      <c r="E12" s="553"/>
      <c r="F12" s="549">
        <v>4.2</v>
      </c>
      <c r="G12" s="549">
        <v>0.85</v>
      </c>
      <c r="H12" s="550">
        <v>0.6</v>
      </c>
      <c r="I12" s="549">
        <v>20</v>
      </c>
      <c r="J12" s="549" t="s">
        <v>2333</v>
      </c>
      <c r="K12" s="549">
        <v>5.75</v>
      </c>
      <c r="L12" s="546" t="s">
        <v>2387</v>
      </c>
      <c r="M12" s="549" t="s">
        <v>2383</v>
      </c>
      <c r="N12" s="549" t="s">
        <v>2384</v>
      </c>
      <c r="O12" s="595"/>
      <c r="P12" s="549">
        <v>120</v>
      </c>
      <c r="Q12" s="549">
        <v>120</v>
      </c>
      <c r="R12" s="549" t="s">
        <v>2349</v>
      </c>
      <c r="S12" s="549" t="s">
        <v>2379</v>
      </c>
      <c r="T12" s="549" t="s">
        <v>2360</v>
      </c>
      <c r="U12" s="549" t="s">
        <v>2354</v>
      </c>
      <c r="V12" s="549"/>
      <c r="W12" s="603" t="s">
        <v>1901</v>
      </c>
      <c r="X12" s="549" t="s">
        <v>2385</v>
      </c>
      <c r="Y12" s="549">
        <v>3</v>
      </c>
      <c r="Z12" s="603" t="s">
        <v>1277</v>
      </c>
      <c r="AA12" s="603">
        <v>1</v>
      </c>
      <c r="AB12" s="603" t="s">
        <v>2344</v>
      </c>
      <c r="AC12" s="603" t="s">
        <v>2344</v>
      </c>
      <c r="AD12" s="619"/>
      <c r="AE12" s="618"/>
      <c r="AF12" s="619" t="s">
        <v>1901</v>
      </c>
    </row>
    <row r="13" s="528" customFormat="1" ht="17.25" customHeight="1" spans="1:32">
      <c r="A13" s="554" t="s">
        <v>2388</v>
      </c>
      <c r="B13" s="555" t="s">
        <v>2389</v>
      </c>
      <c r="C13" s="555">
        <v>0.18</v>
      </c>
      <c r="D13" s="556" t="s">
        <v>2390</v>
      </c>
      <c r="E13" s="556" t="s">
        <v>2390</v>
      </c>
      <c r="F13" s="557">
        <v>3</v>
      </c>
      <c r="G13" s="557">
        <v>0.85</v>
      </c>
      <c r="H13" s="558">
        <v>0.6</v>
      </c>
      <c r="I13" s="557">
        <v>20</v>
      </c>
      <c r="J13" s="557" t="s">
        <v>2333</v>
      </c>
      <c r="K13" s="557">
        <v>2.9</v>
      </c>
      <c r="L13" s="555" t="s">
        <v>2346</v>
      </c>
      <c r="M13" s="560" t="s">
        <v>2391</v>
      </c>
      <c r="N13" s="560" t="s">
        <v>2392</v>
      </c>
      <c r="O13" s="596" t="s">
        <v>2337</v>
      </c>
      <c r="P13" s="557">
        <v>120</v>
      </c>
      <c r="Q13" s="557">
        <v>120</v>
      </c>
      <c r="R13" s="560" t="s">
        <v>2349</v>
      </c>
      <c r="S13" s="557" t="s">
        <v>2069</v>
      </c>
      <c r="T13" s="560" t="s">
        <v>2339</v>
      </c>
      <c r="U13" s="557" t="s">
        <v>2340</v>
      </c>
      <c r="V13" s="560"/>
      <c r="W13" s="568" t="s">
        <v>2393</v>
      </c>
      <c r="X13" s="560" t="s">
        <v>2394</v>
      </c>
      <c r="Y13" s="557">
        <v>2.5</v>
      </c>
      <c r="Z13" s="572" t="s">
        <v>2343</v>
      </c>
      <c r="AA13" s="572" t="s">
        <v>2344</v>
      </c>
      <c r="AB13" s="572" t="s">
        <v>2344</v>
      </c>
      <c r="AC13" s="624" t="s">
        <v>2395</v>
      </c>
      <c r="AD13" s="291" t="s">
        <v>2396</v>
      </c>
      <c r="AE13" s="625" t="s">
        <v>2397</v>
      </c>
      <c r="AF13" s="619" t="s">
        <v>2398</v>
      </c>
    </row>
    <row r="14" s="527" customFormat="1" ht="17.25" customHeight="1" spans="1:32">
      <c r="A14" s="559"/>
      <c r="B14" s="557" t="s">
        <v>2399</v>
      </c>
      <c r="C14" s="560">
        <v>0.102</v>
      </c>
      <c r="D14" s="561"/>
      <c r="E14" s="561"/>
      <c r="F14" s="560">
        <v>3.8</v>
      </c>
      <c r="G14" s="560">
        <v>1</v>
      </c>
      <c r="H14" s="558">
        <v>0.6</v>
      </c>
      <c r="I14" s="557">
        <v>20</v>
      </c>
      <c r="J14" s="557" t="s">
        <v>2333</v>
      </c>
      <c r="K14" s="557">
        <v>2.9</v>
      </c>
      <c r="L14" s="557" t="s">
        <v>2400</v>
      </c>
      <c r="M14" s="597" t="s">
        <v>2401</v>
      </c>
      <c r="N14" s="557" t="s">
        <v>2402</v>
      </c>
      <c r="O14" s="596">
        <v>-1.44883333333333</v>
      </c>
      <c r="P14" s="557">
        <v>120</v>
      </c>
      <c r="Q14" s="557">
        <v>120</v>
      </c>
      <c r="R14" s="560" t="s">
        <v>2069</v>
      </c>
      <c r="S14" s="560" t="s">
        <v>2403</v>
      </c>
      <c r="T14" s="560" t="s">
        <v>2069</v>
      </c>
      <c r="U14" s="557" t="s">
        <v>2340</v>
      </c>
      <c r="V14" s="557"/>
      <c r="W14" s="572" t="s">
        <v>2404</v>
      </c>
      <c r="X14" s="557" t="s">
        <v>2405</v>
      </c>
      <c r="Y14" s="557">
        <v>2.5</v>
      </c>
      <c r="Z14" s="572" t="s">
        <v>2343</v>
      </c>
      <c r="AA14" s="572" t="s">
        <v>2344</v>
      </c>
      <c r="AB14" s="572" t="s">
        <v>2344</v>
      </c>
      <c r="AC14" s="626"/>
      <c r="AD14" s="627"/>
      <c r="AE14" s="618"/>
      <c r="AF14" s="619" t="s">
        <v>2398</v>
      </c>
    </row>
    <row r="15" s="527" customFormat="1" ht="17.25" customHeight="1" spans="1:32">
      <c r="A15" s="559"/>
      <c r="B15" s="557" t="s">
        <v>2406</v>
      </c>
      <c r="C15" s="560">
        <v>0.1</v>
      </c>
      <c r="D15" s="561"/>
      <c r="E15" s="561"/>
      <c r="F15" s="560">
        <v>3.8</v>
      </c>
      <c r="G15" s="560">
        <v>1</v>
      </c>
      <c r="H15" s="558">
        <v>0.6</v>
      </c>
      <c r="I15" s="557">
        <v>20</v>
      </c>
      <c r="J15" s="557" t="s">
        <v>2333</v>
      </c>
      <c r="K15" s="572">
        <v>3</v>
      </c>
      <c r="L15" s="557" t="s">
        <v>2400</v>
      </c>
      <c r="M15" s="597" t="s">
        <v>2401</v>
      </c>
      <c r="N15" s="557" t="s">
        <v>2402</v>
      </c>
      <c r="O15" s="596">
        <v>-1.44883333333333</v>
      </c>
      <c r="P15" s="557">
        <v>120</v>
      </c>
      <c r="Q15" s="557">
        <v>120</v>
      </c>
      <c r="R15" s="560" t="s">
        <v>2069</v>
      </c>
      <c r="S15" s="560" t="s">
        <v>2403</v>
      </c>
      <c r="T15" s="560" t="s">
        <v>2069</v>
      </c>
      <c r="U15" s="557" t="s">
        <v>2340</v>
      </c>
      <c r="V15" s="557"/>
      <c r="W15" s="572" t="s">
        <v>2404</v>
      </c>
      <c r="X15" s="557" t="s">
        <v>2405</v>
      </c>
      <c r="Y15" s="557">
        <v>2.5</v>
      </c>
      <c r="Z15" s="572" t="s">
        <v>2343</v>
      </c>
      <c r="AA15" s="572" t="s">
        <v>2344</v>
      </c>
      <c r="AB15" s="572" t="s">
        <v>2344</v>
      </c>
      <c r="AC15" s="626"/>
      <c r="AD15" s="627"/>
      <c r="AE15" s="618"/>
      <c r="AF15" s="619" t="s">
        <v>2398</v>
      </c>
    </row>
    <row r="16" s="527" customFormat="1" ht="17.25" customHeight="1" spans="1:32">
      <c r="A16" s="559"/>
      <c r="B16" s="557" t="s">
        <v>2407</v>
      </c>
      <c r="C16" s="560">
        <v>0.112</v>
      </c>
      <c r="D16" s="561"/>
      <c r="E16" s="561"/>
      <c r="F16" s="560">
        <v>3.8</v>
      </c>
      <c r="G16" s="560">
        <v>1</v>
      </c>
      <c r="H16" s="558">
        <v>0.6</v>
      </c>
      <c r="I16" s="557">
        <v>20</v>
      </c>
      <c r="J16" s="557" t="s">
        <v>2333</v>
      </c>
      <c r="K16" s="557">
        <v>2.9</v>
      </c>
      <c r="L16" s="557" t="s">
        <v>2408</v>
      </c>
      <c r="M16" s="597" t="s">
        <v>2409</v>
      </c>
      <c r="N16" s="557">
        <v>8.14</v>
      </c>
      <c r="O16" s="596">
        <v>-1.3952</v>
      </c>
      <c r="P16" s="557">
        <v>120</v>
      </c>
      <c r="Q16" s="557">
        <v>120</v>
      </c>
      <c r="R16" s="560" t="s">
        <v>2069</v>
      </c>
      <c r="S16" s="560" t="s">
        <v>2410</v>
      </c>
      <c r="T16" s="560" t="s">
        <v>2339</v>
      </c>
      <c r="U16" s="557" t="s">
        <v>2340</v>
      </c>
      <c r="V16" s="557"/>
      <c r="W16" s="572" t="s">
        <v>2393</v>
      </c>
      <c r="X16" s="557" t="s">
        <v>2405</v>
      </c>
      <c r="Y16" s="557">
        <v>2.5</v>
      </c>
      <c r="Z16" s="572" t="s">
        <v>2343</v>
      </c>
      <c r="AA16" s="572" t="s">
        <v>2344</v>
      </c>
      <c r="AB16" s="572" t="s">
        <v>2344</v>
      </c>
      <c r="AC16" s="626"/>
      <c r="AD16" s="627"/>
      <c r="AE16" s="618"/>
      <c r="AF16" s="619" t="s">
        <v>2398</v>
      </c>
    </row>
    <row r="17" s="527" customFormat="1" ht="17.25" customHeight="1" spans="1:32">
      <c r="A17" s="559"/>
      <c r="B17" s="557" t="s">
        <v>2411</v>
      </c>
      <c r="C17" s="560">
        <v>0.11</v>
      </c>
      <c r="D17" s="561"/>
      <c r="E17" s="561"/>
      <c r="F17" s="560">
        <v>3.8</v>
      </c>
      <c r="G17" s="560">
        <v>1</v>
      </c>
      <c r="H17" s="558">
        <v>0.6</v>
      </c>
      <c r="I17" s="557">
        <v>20</v>
      </c>
      <c r="J17" s="557" t="s">
        <v>2333</v>
      </c>
      <c r="K17" s="572">
        <v>3</v>
      </c>
      <c r="L17" s="557" t="s">
        <v>2408</v>
      </c>
      <c r="M17" s="597" t="s">
        <v>2409</v>
      </c>
      <c r="N17" s="557" t="s">
        <v>2412</v>
      </c>
      <c r="O17" s="596">
        <v>-1.3952</v>
      </c>
      <c r="P17" s="557">
        <v>120</v>
      </c>
      <c r="Q17" s="557">
        <v>120</v>
      </c>
      <c r="R17" s="560" t="s">
        <v>2069</v>
      </c>
      <c r="S17" s="560" t="s">
        <v>2410</v>
      </c>
      <c r="T17" s="560" t="s">
        <v>2339</v>
      </c>
      <c r="U17" s="557" t="s">
        <v>2340</v>
      </c>
      <c r="V17" s="557"/>
      <c r="W17" s="572" t="s">
        <v>2393</v>
      </c>
      <c r="X17" s="557" t="s">
        <v>2405</v>
      </c>
      <c r="Y17" s="557">
        <v>2.5</v>
      </c>
      <c r="Z17" s="572" t="s">
        <v>2343</v>
      </c>
      <c r="AA17" s="572" t="s">
        <v>2344</v>
      </c>
      <c r="AB17" s="572" t="s">
        <v>2344</v>
      </c>
      <c r="AC17" s="626"/>
      <c r="AD17" s="627"/>
      <c r="AE17" s="623"/>
      <c r="AF17" s="619" t="s">
        <v>2398</v>
      </c>
    </row>
    <row r="18" s="528" customFormat="1" ht="17.25" customHeight="1" spans="1:32">
      <c r="A18" s="559"/>
      <c r="B18" s="555" t="s">
        <v>2413</v>
      </c>
      <c r="C18" s="556">
        <v>0.13</v>
      </c>
      <c r="D18" s="561"/>
      <c r="E18" s="561"/>
      <c r="F18" s="560">
        <v>3</v>
      </c>
      <c r="G18" s="560">
        <v>0.85</v>
      </c>
      <c r="H18" s="558">
        <v>0.6</v>
      </c>
      <c r="I18" s="557">
        <v>20</v>
      </c>
      <c r="J18" s="557" t="s">
        <v>2333</v>
      </c>
      <c r="K18" s="557">
        <v>2.9</v>
      </c>
      <c r="L18" s="555" t="s">
        <v>2414</v>
      </c>
      <c r="M18" s="556" t="s">
        <v>2415</v>
      </c>
      <c r="N18" s="556" t="s">
        <v>2416</v>
      </c>
      <c r="O18" s="598"/>
      <c r="P18" s="557">
        <v>120</v>
      </c>
      <c r="Q18" s="557">
        <v>120</v>
      </c>
      <c r="R18" s="560" t="s">
        <v>2069</v>
      </c>
      <c r="S18" s="556" t="s">
        <v>2417</v>
      </c>
      <c r="T18" s="560" t="s">
        <v>2069</v>
      </c>
      <c r="U18" s="557" t="s">
        <v>2340</v>
      </c>
      <c r="V18" s="557"/>
      <c r="W18" s="572" t="s">
        <v>2393</v>
      </c>
      <c r="X18" s="555" t="s">
        <v>2394</v>
      </c>
      <c r="Y18" s="557">
        <v>2.5</v>
      </c>
      <c r="Z18" s="572" t="s">
        <v>2343</v>
      </c>
      <c r="AA18" s="572" t="s">
        <v>2344</v>
      </c>
      <c r="AB18" s="628" t="s">
        <v>2344</v>
      </c>
      <c r="AC18" s="626"/>
      <c r="AD18" s="627"/>
      <c r="AE18" s="618"/>
      <c r="AF18" s="619" t="s">
        <v>2398</v>
      </c>
    </row>
    <row r="19" s="527" customFormat="1" ht="17.25" customHeight="1" spans="1:32">
      <c r="A19" s="559"/>
      <c r="B19" s="555" t="s">
        <v>2418</v>
      </c>
      <c r="C19" s="556">
        <v>0.11</v>
      </c>
      <c r="D19" s="561"/>
      <c r="E19" s="561"/>
      <c r="F19" s="560">
        <v>3.8</v>
      </c>
      <c r="G19" s="560">
        <v>1</v>
      </c>
      <c r="H19" s="558">
        <v>0.6</v>
      </c>
      <c r="I19" s="557">
        <v>20</v>
      </c>
      <c r="J19" s="557" t="s">
        <v>2333</v>
      </c>
      <c r="K19" s="557">
        <v>2.9</v>
      </c>
      <c r="L19" s="555" t="s">
        <v>2419</v>
      </c>
      <c r="M19" s="556" t="s">
        <v>2391</v>
      </c>
      <c r="N19" s="556" t="s">
        <v>2420</v>
      </c>
      <c r="O19" s="598"/>
      <c r="P19" s="557">
        <v>120</v>
      </c>
      <c r="Q19" s="557">
        <v>120</v>
      </c>
      <c r="R19" s="560" t="s">
        <v>2069</v>
      </c>
      <c r="S19" s="556" t="s">
        <v>2421</v>
      </c>
      <c r="T19" s="560" t="s">
        <v>2069</v>
      </c>
      <c r="U19" s="557" t="s">
        <v>2340</v>
      </c>
      <c r="V19" s="557"/>
      <c r="W19" s="572" t="s">
        <v>2393</v>
      </c>
      <c r="X19" s="555" t="s">
        <v>2394</v>
      </c>
      <c r="Y19" s="557">
        <v>2.5</v>
      </c>
      <c r="Z19" s="557" t="s">
        <v>2422</v>
      </c>
      <c r="AA19" s="572" t="s">
        <v>2344</v>
      </c>
      <c r="AB19" s="628" t="s">
        <v>2362</v>
      </c>
      <c r="AC19" s="629"/>
      <c r="AD19" s="630"/>
      <c r="AE19" s="618"/>
      <c r="AF19" s="619" t="s">
        <v>2398</v>
      </c>
    </row>
    <row r="20" s="527" customFormat="1" ht="17.25" customHeight="1" spans="1:32">
      <c r="A20" s="559"/>
      <c r="B20" s="562" t="s">
        <v>2423</v>
      </c>
      <c r="C20" s="563"/>
      <c r="D20" s="561"/>
      <c r="E20" s="561"/>
      <c r="F20" s="549">
        <v>3</v>
      </c>
      <c r="G20" s="549">
        <v>0.85</v>
      </c>
      <c r="H20" s="564">
        <v>0.6</v>
      </c>
      <c r="I20" s="599">
        <v>20</v>
      </c>
      <c r="J20" s="599" t="s">
        <v>2333</v>
      </c>
      <c r="K20" s="546">
        <v>3</v>
      </c>
      <c r="L20" s="600" t="s">
        <v>2424</v>
      </c>
      <c r="M20" s="599" t="s">
        <v>2425</v>
      </c>
      <c r="N20" s="599" t="s">
        <v>2426</v>
      </c>
      <c r="O20" s="599"/>
      <c r="P20" s="549">
        <v>120</v>
      </c>
      <c r="Q20" s="549">
        <v>120</v>
      </c>
      <c r="R20" s="549" t="s">
        <v>2374</v>
      </c>
      <c r="S20" s="599" t="s">
        <v>2069</v>
      </c>
      <c r="T20" s="549" t="s">
        <v>2339</v>
      </c>
      <c r="U20" s="549" t="s">
        <v>2340</v>
      </c>
      <c r="V20" s="603" t="s">
        <v>2427</v>
      </c>
      <c r="W20" s="599" t="s">
        <v>2393</v>
      </c>
      <c r="X20" s="549" t="s">
        <v>2428</v>
      </c>
      <c r="Y20" s="549">
        <v>2.5</v>
      </c>
      <c r="Z20" s="608" t="s">
        <v>1280</v>
      </c>
      <c r="AA20" s="603" t="s">
        <v>2344</v>
      </c>
      <c r="AB20" s="631" t="s">
        <v>2362</v>
      </c>
      <c r="AC20" s="632"/>
      <c r="AD20" s="627"/>
      <c r="AE20" s="618"/>
      <c r="AF20" s="528" t="s">
        <v>2398</v>
      </c>
    </row>
    <row r="21" s="530" customFormat="1" ht="17.25" customHeight="1" spans="1:32">
      <c r="A21" s="559"/>
      <c r="B21" s="546" t="s">
        <v>2429</v>
      </c>
      <c r="C21" s="556">
        <v>0.18</v>
      </c>
      <c r="D21" s="561"/>
      <c r="E21" s="561"/>
      <c r="F21" s="549">
        <v>3</v>
      </c>
      <c r="G21" s="549">
        <v>0.85</v>
      </c>
      <c r="H21" s="550">
        <v>0.6</v>
      </c>
      <c r="I21" s="549">
        <v>20</v>
      </c>
      <c r="J21" s="549" t="s">
        <v>2333</v>
      </c>
      <c r="K21" s="557">
        <v>2.9</v>
      </c>
      <c r="L21" s="546" t="s">
        <v>2376</v>
      </c>
      <c r="M21" s="601" t="s">
        <v>2430</v>
      </c>
      <c r="N21" s="549" t="s">
        <v>2431</v>
      </c>
      <c r="O21" s="598"/>
      <c r="P21" s="549">
        <v>120</v>
      </c>
      <c r="Q21" s="549">
        <v>120</v>
      </c>
      <c r="R21" s="549" t="s">
        <v>2349</v>
      </c>
      <c r="S21" s="549" t="s">
        <v>2379</v>
      </c>
      <c r="T21" s="549" t="s">
        <v>2339</v>
      </c>
      <c r="U21" s="549" t="s">
        <v>2340</v>
      </c>
      <c r="V21" s="549"/>
      <c r="W21" s="603" t="s">
        <v>2393</v>
      </c>
      <c r="X21" s="549" t="s">
        <v>2432</v>
      </c>
      <c r="Y21" s="549">
        <v>2.5</v>
      </c>
      <c r="Z21" s="603" t="s">
        <v>1277</v>
      </c>
      <c r="AA21" s="603">
        <v>2</v>
      </c>
      <c r="AB21" s="603" t="s">
        <v>2344</v>
      </c>
      <c r="AC21" s="626"/>
      <c r="AD21" s="627"/>
      <c r="AE21" s="618"/>
      <c r="AF21" s="619" t="s">
        <v>2398</v>
      </c>
    </row>
    <row r="22" s="530" customFormat="1" ht="17.25" customHeight="1" spans="1:32">
      <c r="A22" s="565"/>
      <c r="B22" s="557" t="s">
        <v>2433</v>
      </c>
      <c r="C22" s="556">
        <v>0.12</v>
      </c>
      <c r="D22" s="566"/>
      <c r="E22" s="566"/>
      <c r="F22" s="549">
        <v>3.8</v>
      </c>
      <c r="G22" s="549">
        <v>1</v>
      </c>
      <c r="H22" s="550">
        <v>0.6</v>
      </c>
      <c r="I22" s="549">
        <v>20</v>
      </c>
      <c r="J22" s="549" t="s">
        <v>2333</v>
      </c>
      <c r="K22" s="557">
        <v>2.9</v>
      </c>
      <c r="L22" s="557" t="s">
        <v>2434</v>
      </c>
      <c r="M22" s="601" t="s">
        <v>2430</v>
      </c>
      <c r="N22" s="549" t="s">
        <v>2431</v>
      </c>
      <c r="O22" s="598"/>
      <c r="P22" s="549">
        <v>120</v>
      </c>
      <c r="Q22" s="549">
        <v>120</v>
      </c>
      <c r="R22" s="549" t="s">
        <v>2379</v>
      </c>
      <c r="S22" s="549" t="s">
        <v>2403</v>
      </c>
      <c r="T22" s="549" t="s">
        <v>2379</v>
      </c>
      <c r="U22" s="549" t="s">
        <v>2340</v>
      </c>
      <c r="V22" s="549"/>
      <c r="W22" s="603" t="s">
        <v>2393</v>
      </c>
      <c r="X22" s="549" t="s">
        <v>2432</v>
      </c>
      <c r="Y22" s="549">
        <v>2.5</v>
      </c>
      <c r="Z22" s="603" t="s">
        <v>1277</v>
      </c>
      <c r="AA22" s="603">
        <v>2</v>
      </c>
      <c r="AB22" s="603" t="s">
        <v>2344</v>
      </c>
      <c r="AC22" s="626"/>
      <c r="AD22" s="627"/>
      <c r="AE22" s="618"/>
      <c r="AF22" s="619" t="s">
        <v>2398</v>
      </c>
    </row>
    <row r="23" s="527" customFormat="1" ht="17.25" customHeight="1" spans="1:32">
      <c r="A23" s="567" t="s">
        <v>2435</v>
      </c>
      <c r="B23" s="557" t="s">
        <v>2436</v>
      </c>
      <c r="C23" s="560">
        <v>0.102</v>
      </c>
      <c r="D23" s="568" t="s">
        <v>2437</v>
      </c>
      <c r="E23" s="560" t="s">
        <v>2390</v>
      </c>
      <c r="F23" s="560">
        <v>3.8</v>
      </c>
      <c r="G23" s="560">
        <v>1</v>
      </c>
      <c r="H23" s="560">
        <v>0.6</v>
      </c>
      <c r="I23" s="557">
        <v>20</v>
      </c>
      <c r="J23" s="557" t="s">
        <v>2333</v>
      </c>
      <c r="K23" s="557">
        <v>2.9</v>
      </c>
      <c r="L23" s="557" t="s">
        <v>2400</v>
      </c>
      <c r="M23" s="560" t="s">
        <v>2438</v>
      </c>
      <c r="N23" s="560" t="s">
        <v>2337</v>
      </c>
      <c r="O23" s="560" t="s">
        <v>2337</v>
      </c>
      <c r="P23" s="557">
        <v>120</v>
      </c>
      <c r="Q23" s="557">
        <v>120</v>
      </c>
      <c r="R23" s="560" t="s">
        <v>2069</v>
      </c>
      <c r="S23" s="560" t="s">
        <v>2439</v>
      </c>
      <c r="T23" s="560" t="s">
        <v>2069</v>
      </c>
      <c r="U23" s="557" t="s">
        <v>2340</v>
      </c>
      <c r="V23" s="557"/>
      <c r="W23" s="572" t="s">
        <v>2404</v>
      </c>
      <c r="X23" s="557" t="s">
        <v>2440</v>
      </c>
      <c r="Y23" s="557">
        <v>5</v>
      </c>
      <c r="Z23" s="572" t="s">
        <v>2343</v>
      </c>
      <c r="AA23" s="572" t="s">
        <v>2344</v>
      </c>
      <c r="AB23" s="633">
        <v>3</v>
      </c>
      <c r="AC23" s="624" t="s">
        <v>2441</v>
      </c>
      <c r="AD23" s="634" t="s">
        <v>2442</v>
      </c>
      <c r="AE23" s="635"/>
      <c r="AF23" s="619" t="s">
        <v>2443</v>
      </c>
    </row>
    <row r="24" s="527" customFormat="1" ht="17.25" customHeight="1" spans="1:32">
      <c r="A24" s="569"/>
      <c r="B24" s="557" t="s">
        <v>2444</v>
      </c>
      <c r="C24" s="560">
        <v>0.1</v>
      </c>
      <c r="D24" s="570"/>
      <c r="E24" s="571"/>
      <c r="F24" s="560">
        <v>3.8</v>
      </c>
      <c r="G24" s="560">
        <v>1</v>
      </c>
      <c r="H24" s="560">
        <v>0.6</v>
      </c>
      <c r="I24" s="557">
        <v>20</v>
      </c>
      <c r="J24" s="557" t="s">
        <v>2333</v>
      </c>
      <c r="K24" s="572">
        <v>3</v>
      </c>
      <c r="L24" s="557" t="s">
        <v>2400</v>
      </c>
      <c r="M24" s="560" t="s">
        <v>2438</v>
      </c>
      <c r="N24" s="560" t="s">
        <v>2337</v>
      </c>
      <c r="O24" s="560" t="s">
        <v>2337</v>
      </c>
      <c r="P24" s="557">
        <v>120</v>
      </c>
      <c r="Q24" s="557">
        <v>120</v>
      </c>
      <c r="R24" s="560" t="s">
        <v>2069</v>
      </c>
      <c r="S24" s="560" t="s">
        <v>2439</v>
      </c>
      <c r="T24" s="560" t="s">
        <v>2069</v>
      </c>
      <c r="U24" s="557" t="s">
        <v>2340</v>
      </c>
      <c r="V24" s="557"/>
      <c r="W24" s="572" t="s">
        <v>2404</v>
      </c>
      <c r="X24" s="557" t="s">
        <v>2440</v>
      </c>
      <c r="Y24" s="557">
        <v>5</v>
      </c>
      <c r="Z24" s="572" t="s">
        <v>2343</v>
      </c>
      <c r="AA24" s="572" t="s">
        <v>2344</v>
      </c>
      <c r="AB24" s="633">
        <v>3</v>
      </c>
      <c r="AC24" s="626"/>
      <c r="AD24" s="636"/>
      <c r="AE24" s="637"/>
      <c r="AF24" s="619" t="s">
        <v>2443</v>
      </c>
    </row>
    <row r="25" s="527" customFormat="1" ht="17.25" customHeight="1" spans="1:32">
      <c r="A25" s="569"/>
      <c r="B25" s="557" t="s">
        <v>2445</v>
      </c>
      <c r="C25" s="560">
        <v>0.17</v>
      </c>
      <c r="D25" s="570"/>
      <c r="E25" s="571"/>
      <c r="F25" s="560">
        <v>3.8</v>
      </c>
      <c r="G25" s="560">
        <v>1</v>
      </c>
      <c r="H25" s="560">
        <v>0.6</v>
      </c>
      <c r="I25" s="557">
        <v>20</v>
      </c>
      <c r="J25" s="557" t="s">
        <v>2333</v>
      </c>
      <c r="K25" s="557">
        <v>2.9</v>
      </c>
      <c r="L25" s="557" t="s">
        <v>2419</v>
      </c>
      <c r="M25" s="560" t="s">
        <v>2337</v>
      </c>
      <c r="N25" s="560" t="s">
        <v>2446</v>
      </c>
      <c r="O25" s="602">
        <v>-1.1492</v>
      </c>
      <c r="P25" s="557">
        <v>120</v>
      </c>
      <c r="Q25" s="557">
        <v>120</v>
      </c>
      <c r="R25" s="560" t="s">
        <v>2069</v>
      </c>
      <c r="S25" s="560" t="s">
        <v>2439</v>
      </c>
      <c r="T25" s="560" t="s">
        <v>2069</v>
      </c>
      <c r="U25" s="557" t="s">
        <v>2340</v>
      </c>
      <c r="V25" s="557"/>
      <c r="W25" s="572" t="s">
        <v>2404</v>
      </c>
      <c r="X25" s="557" t="s">
        <v>2440</v>
      </c>
      <c r="Y25" s="557">
        <v>5</v>
      </c>
      <c r="Z25" s="572" t="s">
        <v>2343</v>
      </c>
      <c r="AA25" s="572" t="s">
        <v>2344</v>
      </c>
      <c r="AB25" s="633">
        <v>3</v>
      </c>
      <c r="AC25" s="626"/>
      <c r="AD25" s="636"/>
      <c r="AE25" s="637"/>
      <c r="AF25" s="619" t="s">
        <v>2443</v>
      </c>
    </row>
    <row r="26" s="527" customFormat="1" ht="17.25" customHeight="1" spans="1:32">
      <c r="A26" s="569"/>
      <c r="B26" s="557" t="s">
        <v>2447</v>
      </c>
      <c r="C26" s="560">
        <v>0.16</v>
      </c>
      <c r="D26" s="570"/>
      <c r="E26" s="571"/>
      <c r="F26" s="560">
        <v>3.8</v>
      </c>
      <c r="G26" s="560">
        <v>1</v>
      </c>
      <c r="H26" s="560">
        <v>0.6</v>
      </c>
      <c r="I26" s="557">
        <v>20</v>
      </c>
      <c r="J26" s="557" t="s">
        <v>2333</v>
      </c>
      <c r="K26" s="572">
        <v>3</v>
      </c>
      <c r="L26" s="557" t="s">
        <v>2419</v>
      </c>
      <c r="M26" s="560" t="s">
        <v>2337</v>
      </c>
      <c r="N26" s="560" t="s">
        <v>2446</v>
      </c>
      <c r="O26" s="602">
        <v>-1.1492</v>
      </c>
      <c r="P26" s="557">
        <v>120</v>
      </c>
      <c r="Q26" s="557">
        <v>120</v>
      </c>
      <c r="R26" s="560" t="s">
        <v>2069</v>
      </c>
      <c r="S26" s="560" t="s">
        <v>2439</v>
      </c>
      <c r="T26" s="560" t="s">
        <v>2069</v>
      </c>
      <c r="U26" s="557" t="s">
        <v>2340</v>
      </c>
      <c r="V26" s="557"/>
      <c r="W26" s="572" t="s">
        <v>2404</v>
      </c>
      <c r="X26" s="557" t="s">
        <v>2440</v>
      </c>
      <c r="Y26" s="557">
        <v>5</v>
      </c>
      <c r="Z26" s="572" t="s">
        <v>2343</v>
      </c>
      <c r="AA26" s="572" t="s">
        <v>2344</v>
      </c>
      <c r="AB26" s="633">
        <v>3</v>
      </c>
      <c r="AC26" s="626"/>
      <c r="AD26" s="636"/>
      <c r="AE26" s="637"/>
      <c r="AF26" s="619" t="s">
        <v>2443</v>
      </c>
    </row>
    <row r="27" s="527" customFormat="1" ht="17.25" customHeight="1" spans="1:32">
      <c r="A27" s="569"/>
      <c r="B27" s="555" t="s">
        <v>2448</v>
      </c>
      <c r="C27" s="556">
        <v>0.2</v>
      </c>
      <c r="D27" s="570"/>
      <c r="E27" s="571"/>
      <c r="F27" s="560">
        <v>3.8</v>
      </c>
      <c r="G27" s="560">
        <v>1</v>
      </c>
      <c r="H27" s="560">
        <v>0.6</v>
      </c>
      <c r="I27" s="557">
        <v>20</v>
      </c>
      <c r="J27" s="557" t="s">
        <v>2333</v>
      </c>
      <c r="K27" s="557">
        <v>2.85</v>
      </c>
      <c r="L27" s="555" t="s">
        <v>2449</v>
      </c>
      <c r="M27" s="560"/>
      <c r="N27" s="560" t="s">
        <v>2450</v>
      </c>
      <c r="O27" s="602"/>
      <c r="P27" s="557">
        <v>120</v>
      </c>
      <c r="Q27" s="557">
        <v>120</v>
      </c>
      <c r="R27" s="560" t="s">
        <v>2069</v>
      </c>
      <c r="S27" s="560" t="s">
        <v>2451</v>
      </c>
      <c r="T27" s="560" t="s">
        <v>2069</v>
      </c>
      <c r="U27" s="557" t="s">
        <v>2340</v>
      </c>
      <c r="V27" s="557"/>
      <c r="W27" s="572" t="s">
        <v>2404</v>
      </c>
      <c r="X27" s="557" t="s">
        <v>2405</v>
      </c>
      <c r="Y27" s="557">
        <v>5</v>
      </c>
      <c r="Z27" s="557" t="s">
        <v>2422</v>
      </c>
      <c r="AA27" s="572" t="s">
        <v>2344</v>
      </c>
      <c r="AB27" s="633">
        <v>3</v>
      </c>
      <c r="AC27" s="626"/>
      <c r="AD27" s="636"/>
      <c r="AE27" s="637"/>
      <c r="AF27" s="619" t="s">
        <v>2443</v>
      </c>
    </row>
    <row r="28" s="527" customFormat="1" ht="17.25" customHeight="1" spans="1:32">
      <c r="A28" s="569"/>
      <c r="B28" s="572" t="s">
        <v>790</v>
      </c>
      <c r="C28" s="572">
        <v>0.18</v>
      </c>
      <c r="D28" s="570"/>
      <c r="E28" s="571"/>
      <c r="F28" s="572">
        <v>3</v>
      </c>
      <c r="G28" s="573">
        <v>0.85</v>
      </c>
      <c r="H28" s="557">
        <v>0.6</v>
      </c>
      <c r="I28" s="557">
        <v>20</v>
      </c>
      <c r="J28" s="557" t="s">
        <v>2333</v>
      </c>
      <c r="K28" s="557">
        <v>2.9</v>
      </c>
      <c r="L28" s="572" t="s">
        <v>2414</v>
      </c>
      <c r="M28" s="560" t="s">
        <v>2337</v>
      </c>
      <c r="N28" s="560" t="s">
        <v>2452</v>
      </c>
      <c r="O28" s="560" t="s">
        <v>2337</v>
      </c>
      <c r="P28" s="557">
        <v>120</v>
      </c>
      <c r="Q28" s="557">
        <v>120</v>
      </c>
      <c r="R28" s="560" t="s">
        <v>2069</v>
      </c>
      <c r="S28" s="560" t="s">
        <v>2439</v>
      </c>
      <c r="T28" s="560" t="s">
        <v>2069</v>
      </c>
      <c r="U28" s="557" t="s">
        <v>2340</v>
      </c>
      <c r="V28" s="557"/>
      <c r="W28" s="572" t="s">
        <v>2404</v>
      </c>
      <c r="X28" s="557" t="s">
        <v>2440</v>
      </c>
      <c r="Y28" s="557">
        <v>5</v>
      </c>
      <c r="Z28" s="572" t="s">
        <v>2343</v>
      </c>
      <c r="AA28" s="572" t="s">
        <v>2344</v>
      </c>
      <c r="AB28" s="633">
        <v>3</v>
      </c>
      <c r="AC28" s="626"/>
      <c r="AD28" s="636"/>
      <c r="AE28" s="637"/>
      <c r="AF28" s="619" t="s">
        <v>2443</v>
      </c>
    </row>
    <row r="29" s="527" customFormat="1" ht="17.25" customHeight="1" spans="1:32">
      <c r="A29" s="569"/>
      <c r="B29" s="557" t="s">
        <v>2453</v>
      </c>
      <c r="C29" s="557">
        <v>0.11</v>
      </c>
      <c r="D29" s="570"/>
      <c r="E29" s="571"/>
      <c r="F29" s="572">
        <v>3</v>
      </c>
      <c r="G29" s="573">
        <v>0.85</v>
      </c>
      <c r="H29" s="557">
        <v>0.6</v>
      </c>
      <c r="I29" s="557">
        <v>20</v>
      </c>
      <c r="J29" s="557" t="s">
        <v>2333</v>
      </c>
      <c r="K29" s="572">
        <v>3</v>
      </c>
      <c r="L29" s="557" t="s">
        <v>2414</v>
      </c>
      <c r="M29" s="560" t="s">
        <v>2337</v>
      </c>
      <c r="N29" s="560" t="s">
        <v>2452</v>
      </c>
      <c r="O29" s="560" t="s">
        <v>2337</v>
      </c>
      <c r="P29" s="557">
        <v>120</v>
      </c>
      <c r="Q29" s="557">
        <v>120</v>
      </c>
      <c r="R29" s="560" t="s">
        <v>2069</v>
      </c>
      <c r="S29" s="560" t="s">
        <v>2439</v>
      </c>
      <c r="T29" s="560" t="s">
        <v>2069</v>
      </c>
      <c r="U29" s="557" t="s">
        <v>2340</v>
      </c>
      <c r="V29" s="557"/>
      <c r="W29" s="572" t="s">
        <v>2404</v>
      </c>
      <c r="X29" s="557" t="s">
        <v>2440</v>
      </c>
      <c r="Y29" s="557">
        <v>5</v>
      </c>
      <c r="Z29" s="572" t="s">
        <v>2343</v>
      </c>
      <c r="AA29" s="572" t="s">
        <v>2344</v>
      </c>
      <c r="AB29" s="633">
        <v>3</v>
      </c>
      <c r="AC29" s="626"/>
      <c r="AD29" s="636"/>
      <c r="AE29" s="637"/>
      <c r="AF29" s="619" t="s">
        <v>2443</v>
      </c>
    </row>
    <row r="30" s="527" customFormat="1" ht="17.25" customHeight="1" spans="1:32">
      <c r="A30" s="569"/>
      <c r="B30" s="557" t="s">
        <v>2073</v>
      </c>
      <c r="C30" s="557">
        <v>0.25</v>
      </c>
      <c r="D30" s="570"/>
      <c r="E30" s="571"/>
      <c r="F30" s="572">
        <v>3</v>
      </c>
      <c r="G30" s="573">
        <v>0.85</v>
      </c>
      <c r="H30" s="557">
        <v>0.6</v>
      </c>
      <c r="I30" s="557">
        <v>20</v>
      </c>
      <c r="J30" s="557" t="s">
        <v>2333</v>
      </c>
      <c r="K30" s="557">
        <v>2.9</v>
      </c>
      <c r="L30" s="557" t="s">
        <v>2346</v>
      </c>
      <c r="M30" s="560" t="s">
        <v>2337</v>
      </c>
      <c r="N30" s="560" t="s">
        <v>2454</v>
      </c>
      <c r="O30" s="560" t="s">
        <v>2337</v>
      </c>
      <c r="P30" s="557">
        <v>120</v>
      </c>
      <c r="Q30" s="557">
        <v>120</v>
      </c>
      <c r="R30" s="560" t="s">
        <v>2349</v>
      </c>
      <c r="S30" s="560" t="s">
        <v>2069</v>
      </c>
      <c r="T30" s="560" t="s">
        <v>2339</v>
      </c>
      <c r="U30" s="557" t="s">
        <v>2340</v>
      </c>
      <c r="V30" s="557"/>
      <c r="W30" s="572" t="s">
        <v>2404</v>
      </c>
      <c r="X30" s="557" t="s">
        <v>2455</v>
      </c>
      <c r="Y30" s="557">
        <v>5</v>
      </c>
      <c r="Z30" s="572" t="s">
        <v>2343</v>
      </c>
      <c r="AA30" s="572">
        <v>5</v>
      </c>
      <c r="AB30" s="633"/>
      <c r="AC30" s="626"/>
      <c r="AD30" s="636"/>
      <c r="AE30" s="637"/>
      <c r="AF30" s="619" t="s">
        <v>2443</v>
      </c>
    </row>
    <row r="31" s="527" customFormat="1" ht="17.25" customHeight="1" spans="1:32">
      <c r="A31" s="569"/>
      <c r="B31" s="557" t="s">
        <v>2456</v>
      </c>
      <c r="C31" s="557">
        <v>0.24</v>
      </c>
      <c r="D31" s="570"/>
      <c r="E31" s="571"/>
      <c r="F31" s="572">
        <v>3</v>
      </c>
      <c r="G31" s="573">
        <v>0.85</v>
      </c>
      <c r="H31" s="557">
        <v>0.6</v>
      </c>
      <c r="I31" s="557">
        <v>20</v>
      </c>
      <c r="J31" s="557" t="s">
        <v>2333</v>
      </c>
      <c r="K31" s="572">
        <v>3</v>
      </c>
      <c r="L31" s="557" t="s">
        <v>2346</v>
      </c>
      <c r="M31" s="560" t="s">
        <v>2337</v>
      </c>
      <c r="N31" s="560" t="s">
        <v>2454</v>
      </c>
      <c r="O31" s="560" t="s">
        <v>2337</v>
      </c>
      <c r="P31" s="557">
        <v>120</v>
      </c>
      <c r="Q31" s="557">
        <v>120</v>
      </c>
      <c r="R31" s="560" t="s">
        <v>2349</v>
      </c>
      <c r="S31" s="560" t="s">
        <v>2069</v>
      </c>
      <c r="T31" s="560" t="s">
        <v>2339</v>
      </c>
      <c r="U31" s="557" t="s">
        <v>2340</v>
      </c>
      <c r="V31" s="557"/>
      <c r="W31" s="572" t="s">
        <v>2404</v>
      </c>
      <c r="X31" s="557" t="s">
        <v>2455</v>
      </c>
      <c r="Y31" s="557">
        <v>5</v>
      </c>
      <c r="Z31" s="572" t="s">
        <v>2343</v>
      </c>
      <c r="AA31" s="572">
        <v>5</v>
      </c>
      <c r="AB31" s="633"/>
      <c r="AC31" s="629"/>
      <c r="AD31" s="638"/>
      <c r="AE31" s="639"/>
      <c r="AF31" s="619" t="s">
        <v>2443</v>
      </c>
    </row>
    <row r="32" s="527" customFormat="1" ht="17.25" customHeight="1" spans="1:32">
      <c r="A32" s="574"/>
      <c r="B32" s="557" t="s">
        <v>2457</v>
      </c>
      <c r="C32" s="557">
        <v>0.26</v>
      </c>
      <c r="D32" s="575"/>
      <c r="E32" s="576"/>
      <c r="F32" s="547">
        <v>3</v>
      </c>
      <c r="G32" s="548">
        <v>0.85</v>
      </c>
      <c r="H32" s="577">
        <v>0.6</v>
      </c>
      <c r="I32" s="548">
        <v>20</v>
      </c>
      <c r="J32" s="548" t="s">
        <v>2356</v>
      </c>
      <c r="K32" s="572">
        <v>2.9</v>
      </c>
      <c r="L32" s="557" t="s">
        <v>2458</v>
      </c>
      <c r="M32" s="548" t="s">
        <v>2459</v>
      </c>
      <c r="N32" s="548" t="s">
        <v>2460</v>
      </c>
      <c r="O32" s="560"/>
      <c r="P32" s="548">
        <v>120</v>
      </c>
      <c r="Q32" s="548">
        <v>120</v>
      </c>
      <c r="R32" s="548" t="s">
        <v>2349</v>
      </c>
      <c r="S32" s="548" t="s">
        <v>2379</v>
      </c>
      <c r="T32" s="548" t="s">
        <v>2339</v>
      </c>
      <c r="U32" s="548" t="s">
        <v>2340</v>
      </c>
      <c r="V32" s="548"/>
      <c r="W32" s="547" t="s">
        <v>2461</v>
      </c>
      <c r="X32" s="548" t="s">
        <v>2462</v>
      </c>
      <c r="Y32" s="548">
        <v>2</v>
      </c>
      <c r="Z32" s="548" t="s">
        <v>1277</v>
      </c>
      <c r="AA32" s="547">
        <v>2</v>
      </c>
      <c r="AB32" s="547" t="s">
        <v>2362</v>
      </c>
      <c r="AC32" s="626"/>
      <c r="AD32" s="636"/>
      <c r="AE32" s="637"/>
      <c r="AF32" s="619" t="s">
        <v>2443</v>
      </c>
    </row>
    <row r="33" s="528" customFormat="1" ht="17.25" customHeight="1" spans="1:32">
      <c r="A33" s="578" t="s">
        <v>2463</v>
      </c>
      <c r="B33" s="557" t="s">
        <v>2464</v>
      </c>
      <c r="C33" s="557">
        <v>0.2</v>
      </c>
      <c r="D33" s="571" t="s">
        <v>2390</v>
      </c>
      <c r="E33" s="571" t="s">
        <v>2390</v>
      </c>
      <c r="F33" s="572">
        <v>3</v>
      </c>
      <c r="G33" s="573">
        <v>0.85</v>
      </c>
      <c r="H33" s="557">
        <v>0.6</v>
      </c>
      <c r="I33" s="557">
        <v>20</v>
      </c>
      <c r="J33" s="557" t="s">
        <v>2333</v>
      </c>
      <c r="K33" s="572">
        <v>2.85</v>
      </c>
      <c r="L33" s="557" t="s">
        <v>2346</v>
      </c>
      <c r="M33" s="549" t="s">
        <v>2465</v>
      </c>
      <c r="N33" s="549" t="s">
        <v>2466</v>
      </c>
      <c r="O33" s="549">
        <v>357</v>
      </c>
      <c r="P33" s="549">
        <v>115</v>
      </c>
      <c r="Q33" s="549">
        <v>115</v>
      </c>
      <c r="R33" s="549">
        <v>540</v>
      </c>
      <c r="S33" s="549" t="s">
        <v>2379</v>
      </c>
      <c r="T33" s="549">
        <v>630</v>
      </c>
      <c r="U33" s="549" t="s">
        <v>2340</v>
      </c>
      <c r="V33" s="549"/>
      <c r="W33" s="603" t="s">
        <v>2467</v>
      </c>
      <c r="X33" s="549" t="s">
        <v>2468</v>
      </c>
      <c r="Y33" s="549">
        <v>2.5</v>
      </c>
      <c r="Z33" s="549" t="s">
        <v>1280</v>
      </c>
      <c r="AA33" s="603">
        <v>5</v>
      </c>
      <c r="AB33" s="603" t="s">
        <v>2469</v>
      </c>
      <c r="AC33" s="624" t="s">
        <v>2441</v>
      </c>
      <c r="AD33" s="634" t="s">
        <v>2442</v>
      </c>
      <c r="AE33" s="637"/>
      <c r="AF33" s="619" t="s">
        <v>2470</v>
      </c>
    </row>
    <row r="34" s="528" customFormat="1" ht="17.25" customHeight="1" spans="1:32">
      <c r="A34" s="579"/>
      <c r="B34" s="557" t="s">
        <v>2471</v>
      </c>
      <c r="C34" s="557">
        <v>0.19</v>
      </c>
      <c r="D34" s="571"/>
      <c r="E34" s="571"/>
      <c r="F34" s="572">
        <v>3</v>
      </c>
      <c r="G34" s="573">
        <v>0.85</v>
      </c>
      <c r="H34" s="557">
        <v>0.6</v>
      </c>
      <c r="I34" s="557">
        <v>20</v>
      </c>
      <c r="J34" s="557" t="s">
        <v>2333</v>
      </c>
      <c r="K34" s="572">
        <v>2.9</v>
      </c>
      <c r="L34" s="557" t="s">
        <v>2346</v>
      </c>
      <c r="M34" s="553"/>
      <c r="N34" s="553"/>
      <c r="O34" s="553"/>
      <c r="P34" s="553"/>
      <c r="Q34" s="553"/>
      <c r="R34" s="553"/>
      <c r="S34" s="553"/>
      <c r="T34" s="553"/>
      <c r="U34" s="553"/>
      <c r="V34" s="553"/>
      <c r="W34" s="552"/>
      <c r="X34" s="553"/>
      <c r="Y34" s="553"/>
      <c r="Z34" s="553"/>
      <c r="AA34" s="552"/>
      <c r="AB34" s="552"/>
      <c r="AC34" s="626"/>
      <c r="AD34" s="636"/>
      <c r="AE34" s="637"/>
      <c r="AF34" s="619" t="s">
        <v>2470</v>
      </c>
    </row>
    <row r="35" s="531" customFormat="1" ht="17.25" customHeight="1" spans="1:32">
      <c r="A35" s="579"/>
      <c r="B35" s="557" t="s">
        <v>2472</v>
      </c>
      <c r="C35" s="557">
        <v>0.1</v>
      </c>
      <c r="D35" s="571"/>
      <c r="E35" s="571"/>
      <c r="F35" s="557">
        <v>3.8</v>
      </c>
      <c r="G35" s="557">
        <v>1</v>
      </c>
      <c r="H35" s="557">
        <v>0.6</v>
      </c>
      <c r="I35" s="557">
        <v>20</v>
      </c>
      <c r="J35" s="557" t="s">
        <v>2333</v>
      </c>
      <c r="K35" s="557">
        <v>2.9</v>
      </c>
      <c r="L35" s="557" t="s">
        <v>2473</v>
      </c>
      <c r="M35" s="603" t="s">
        <v>2474</v>
      </c>
      <c r="N35" s="603" t="s">
        <v>2378</v>
      </c>
      <c r="O35" s="548"/>
      <c r="P35" s="603">
        <v>120</v>
      </c>
      <c r="Q35" s="603">
        <v>120</v>
      </c>
      <c r="R35" s="603" t="s">
        <v>2379</v>
      </c>
      <c r="S35" s="603">
        <v>560</v>
      </c>
      <c r="T35" s="603">
        <v>610</v>
      </c>
      <c r="U35" s="603" t="s">
        <v>2475</v>
      </c>
      <c r="V35" s="603"/>
      <c r="W35" s="603" t="s">
        <v>2476</v>
      </c>
      <c r="X35" s="603" t="s">
        <v>2477</v>
      </c>
      <c r="Y35" s="553">
        <v>5</v>
      </c>
      <c r="Z35" s="549" t="s">
        <v>1280</v>
      </c>
      <c r="AA35" s="572" t="s">
        <v>2344</v>
      </c>
      <c r="AB35" s="547" t="s">
        <v>2362</v>
      </c>
      <c r="AC35" s="626"/>
      <c r="AD35" s="636"/>
      <c r="AE35" s="637"/>
      <c r="AF35" s="619" t="s">
        <v>2470</v>
      </c>
    </row>
    <row r="36" s="531" customFormat="1" ht="17.25" customHeight="1" spans="1:32">
      <c r="A36" s="579"/>
      <c r="B36" s="557" t="s">
        <v>2478</v>
      </c>
      <c r="C36" s="557">
        <v>0.09</v>
      </c>
      <c r="D36" s="571"/>
      <c r="E36" s="571"/>
      <c r="F36" s="557">
        <v>3.8</v>
      </c>
      <c r="G36" s="557">
        <v>1</v>
      </c>
      <c r="H36" s="557">
        <v>0.6</v>
      </c>
      <c r="I36" s="557">
        <v>20</v>
      </c>
      <c r="J36" s="557" t="s">
        <v>2333</v>
      </c>
      <c r="K36" s="572">
        <v>3</v>
      </c>
      <c r="L36" s="557" t="s">
        <v>2479</v>
      </c>
      <c r="M36" s="552"/>
      <c r="N36" s="552"/>
      <c r="O36" s="548"/>
      <c r="P36" s="552"/>
      <c r="Q36" s="552"/>
      <c r="R36" s="552"/>
      <c r="S36" s="552"/>
      <c r="T36" s="552"/>
      <c r="U36" s="552"/>
      <c r="V36" s="552"/>
      <c r="W36" s="552"/>
      <c r="X36" s="552"/>
      <c r="Y36" s="553">
        <v>5</v>
      </c>
      <c r="Z36" s="553"/>
      <c r="AA36" s="572" t="s">
        <v>2344</v>
      </c>
      <c r="AB36" s="547" t="s">
        <v>2362</v>
      </c>
      <c r="AC36" s="626"/>
      <c r="AD36" s="636"/>
      <c r="AE36" s="637"/>
      <c r="AF36" s="619" t="s">
        <v>2470</v>
      </c>
    </row>
    <row r="37" s="527" customFormat="1" ht="17.25" customHeight="1" spans="1:32">
      <c r="A37" s="579"/>
      <c r="B37" s="557" t="s">
        <v>2480</v>
      </c>
      <c r="C37" s="557">
        <v>0.102</v>
      </c>
      <c r="D37" s="571"/>
      <c r="E37" s="571"/>
      <c r="F37" s="557">
        <v>3.8</v>
      </c>
      <c r="G37" s="557">
        <v>1</v>
      </c>
      <c r="H37" s="557">
        <v>0.6</v>
      </c>
      <c r="I37" s="557">
        <v>20</v>
      </c>
      <c r="J37" s="557" t="s">
        <v>2333</v>
      </c>
      <c r="K37" s="557">
        <v>2.9</v>
      </c>
      <c r="L37" s="557" t="s">
        <v>2400</v>
      </c>
      <c r="M37" s="560" t="s">
        <v>2481</v>
      </c>
      <c r="N37" s="560" t="s">
        <v>2482</v>
      </c>
      <c r="O37" s="602">
        <v>-1.29505041541567</v>
      </c>
      <c r="P37" s="557">
        <v>120</v>
      </c>
      <c r="Q37" s="557">
        <v>120</v>
      </c>
      <c r="R37" s="560" t="s">
        <v>2069</v>
      </c>
      <c r="S37" s="560" t="s">
        <v>2483</v>
      </c>
      <c r="T37" s="560" t="s">
        <v>2069</v>
      </c>
      <c r="U37" s="557" t="s">
        <v>2340</v>
      </c>
      <c r="V37" s="557"/>
      <c r="W37" s="572" t="s">
        <v>2404</v>
      </c>
      <c r="X37" s="560" t="s">
        <v>2484</v>
      </c>
      <c r="Y37" s="557">
        <v>5</v>
      </c>
      <c r="Z37" s="572" t="s">
        <v>2343</v>
      </c>
      <c r="AA37" s="572" t="s">
        <v>2344</v>
      </c>
      <c r="AB37" s="628" t="s">
        <v>2362</v>
      </c>
      <c r="AC37" s="626"/>
      <c r="AD37" s="636"/>
      <c r="AE37" s="635"/>
      <c r="AF37" s="619" t="s">
        <v>2470</v>
      </c>
    </row>
    <row r="38" s="527" customFormat="1" ht="17.25" customHeight="1" spans="1:32">
      <c r="A38" s="579"/>
      <c r="B38" s="557" t="s">
        <v>2485</v>
      </c>
      <c r="C38" s="557">
        <v>0.1</v>
      </c>
      <c r="D38" s="571"/>
      <c r="E38" s="571"/>
      <c r="F38" s="557">
        <v>3.8</v>
      </c>
      <c r="G38" s="557">
        <v>1</v>
      </c>
      <c r="H38" s="557">
        <v>0.6</v>
      </c>
      <c r="I38" s="557">
        <v>20</v>
      </c>
      <c r="J38" s="557" t="s">
        <v>2333</v>
      </c>
      <c r="K38" s="572">
        <v>3</v>
      </c>
      <c r="L38" s="557" t="s">
        <v>2400</v>
      </c>
      <c r="M38" s="560" t="s">
        <v>2481</v>
      </c>
      <c r="N38" s="560" t="s">
        <v>2482</v>
      </c>
      <c r="O38" s="602">
        <v>-1.29505041541567</v>
      </c>
      <c r="P38" s="557">
        <v>120</v>
      </c>
      <c r="Q38" s="557">
        <v>120</v>
      </c>
      <c r="R38" s="560" t="s">
        <v>2069</v>
      </c>
      <c r="S38" s="560" t="s">
        <v>2483</v>
      </c>
      <c r="T38" s="560" t="s">
        <v>2069</v>
      </c>
      <c r="U38" s="557" t="s">
        <v>2340</v>
      </c>
      <c r="V38" s="557"/>
      <c r="W38" s="572" t="s">
        <v>2404</v>
      </c>
      <c r="X38" s="560" t="s">
        <v>2484</v>
      </c>
      <c r="Y38" s="557">
        <v>5</v>
      </c>
      <c r="Z38" s="572" t="s">
        <v>2343</v>
      </c>
      <c r="AA38" s="572" t="s">
        <v>2344</v>
      </c>
      <c r="AB38" s="628" t="s">
        <v>2362</v>
      </c>
      <c r="AC38" s="626"/>
      <c r="AD38" s="636"/>
      <c r="AE38" s="637"/>
      <c r="AF38" s="619" t="s">
        <v>2470</v>
      </c>
    </row>
    <row r="39" s="527" customFormat="1" ht="17.25" customHeight="1" spans="1:32">
      <c r="A39" s="579"/>
      <c r="B39" s="557" t="s">
        <v>2486</v>
      </c>
      <c r="C39" s="557">
        <v>0.12</v>
      </c>
      <c r="D39" s="571"/>
      <c r="E39" s="571"/>
      <c r="F39" s="557">
        <v>3</v>
      </c>
      <c r="G39" s="573">
        <v>0.85</v>
      </c>
      <c r="H39" s="557">
        <v>0.6</v>
      </c>
      <c r="I39" s="557">
        <v>20</v>
      </c>
      <c r="J39" s="557" t="s">
        <v>2333</v>
      </c>
      <c r="K39" s="557">
        <v>2.9</v>
      </c>
      <c r="L39" s="557" t="s">
        <v>2487</v>
      </c>
      <c r="M39" s="560" t="s">
        <v>2488</v>
      </c>
      <c r="N39" s="560" t="s">
        <v>2489</v>
      </c>
      <c r="O39" s="560" t="s">
        <v>2337</v>
      </c>
      <c r="P39" s="557">
        <v>120</v>
      </c>
      <c r="Q39" s="557">
        <v>120</v>
      </c>
      <c r="R39" s="560" t="s">
        <v>2069</v>
      </c>
      <c r="S39" s="560" t="s">
        <v>2483</v>
      </c>
      <c r="T39" s="560" t="s">
        <v>2069</v>
      </c>
      <c r="U39" s="557" t="s">
        <v>2340</v>
      </c>
      <c r="V39" s="557"/>
      <c r="W39" s="572" t="s">
        <v>2404</v>
      </c>
      <c r="X39" s="560" t="s">
        <v>2484</v>
      </c>
      <c r="Y39" s="557">
        <v>5</v>
      </c>
      <c r="Z39" s="572" t="s">
        <v>2343</v>
      </c>
      <c r="AA39" s="572" t="s">
        <v>2344</v>
      </c>
      <c r="AB39" s="628" t="s">
        <v>2362</v>
      </c>
      <c r="AC39" s="626"/>
      <c r="AD39" s="636"/>
      <c r="AE39" s="637"/>
      <c r="AF39" s="619" t="s">
        <v>2470</v>
      </c>
    </row>
    <row r="40" s="527" customFormat="1" ht="17.25" customHeight="1" spans="1:32">
      <c r="A40" s="579"/>
      <c r="B40" s="557" t="s">
        <v>2490</v>
      </c>
      <c r="C40" s="557">
        <v>0.115</v>
      </c>
      <c r="D40" s="571"/>
      <c r="E40" s="571"/>
      <c r="F40" s="557">
        <v>3</v>
      </c>
      <c r="G40" s="573">
        <v>0.85</v>
      </c>
      <c r="H40" s="557">
        <v>0.6</v>
      </c>
      <c r="I40" s="557">
        <v>20</v>
      </c>
      <c r="J40" s="557" t="s">
        <v>2333</v>
      </c>
      <c r="K40" s="572">
        <v>3</v>
      </c>
      <c r="L40" s="557" t="s">
        <v>2487</v>
      </c>
      <c r="M40" s="560" t="s">
        <v>2488</v>
      </c>
      <c r="N40" s="560" t="s">
        <v>2489</v>
      </c>
      <c r="O40" s="560" t="s">
        <v>2337</v>
      </c>
      <c r="P40" s="557">
        <v>120</v>
      </c>
      <c r="Q40" s="557">
        <v>120</v>
      </c>
      <c r="R40" s="560" t="s">
        <v>2069</v>
      </c>
      <c r="S40" s="560" t="s">
        <v>2483</v>
      </c>
      <c r="T40" s="560" t="s">
        <v>2069</v>
      </c>
      <c r="U40" s="557" t="s">
        <v>2340</v>
      </c>
      <c r="V40" s="557"/>
      <c r="W40" s="572" t="s">
        <v>2404</v>
      </c>
      <c r="X40" s="560" t="s">
        <v>2484</v>
      </c>
      <c r="Y40" s="557">
        <v>5</v>
      </c>
      <c r="Z40" s="572" t="s">
        <v>2343</v>
      </c>
      <c r="AA40" s="572" t="s">
        <v>2344</v>
      </c>
      <c r="AB40" s="628" t="s">
        <v>2362</v>
      </c>
      <c r="AC40" s="626"/>
      <c r="AD40" s="636"/>
      <c r="AE40" s="637"/>
      <c r="AF40" s="619" t="s">
        <v>2470</v>
      </c>
    </row>
    <row r="41" s="527" customFormat="1" ht="17.25" customHeight="1" spans="1:32">
      <c r="A41" s="579"/>
      <c r="B41" s="557" t="s">
        <v>2491</v>
      </c>
      <c r="C41" s="557">
        <v>0.115</v>
      </c>
      <c r="D41" s="571"/>
      <c r="E41" s="571"/>
      <c r="F41" s="572">
        <v>3.8</v>
      </c>
      <c r="G41" s="557">
        <v>1</v>
      </c>
      <c r="H41" s="557">
        <v>0.44</v>
      </c>
      <c r="I41" s="557">
        <v>20</v>
      </c>
      <c r="J41" s="557" t="s">
        <v>2333</v>
      </c>
      <c r="K41" s="557">
        <v>2.9</v>
      </c>
      <c r="L41" s="557" t="s">
        <v>2492</v>
      </c>
      <c r="M41" s="560" t="s">
        <v>2493</v>
      </c>
      <c r="N41" s="560" t="s">
        <v>2494</v>
      </c>
      <c r="O41" s="560" t="s">
        <v>2337</v>
      </c>
      <c r="P41" s="557">
        <v>120</v>
      </c>
      <c r="Q41" s="557">
        <v>120</v>
      </c>
      <c r="R41" s="560" t="s">
        <v>2069</v>
      </c>
      <c r="S41" s="560" t="s">
        <v>2483</v>
      </c>
      <c r="T41" s="560" t="s">
        <v>2069</v>
      </c>
      <c r="U41" s="557" t="s">
        <v>2340</v>
      </c>
      <c r="V41" s="557"/>
      <c r="W41" s="572" t="s">
        <v>2404</v>
      </c>
      <c r="X41" s="560" t="s">
        <v>2484</v>
      </c>
      <c r="Y41" s="557">
        <v>5</v>
      </c>
      <c r="Z41" s="572" t="s">
        <v>2343</v>
      </c>
      <c r="AA41" s="572" t="s">
        <v>2344</v>
      </c>
      <c r="AB41" s="628" t="s">
        <v>2362</v>
      </c>
      <c r="AC41" s="626"/>
      <c r="AD41" s="636"/>
      <c r="AE41" s="637"/>
      <c r="AF41" s="619" t="s">
        <v>2470</v>
      </c>
    </row>
    <row r="42" s="527" customFormat="1" ht="17.25" customHeight="1" spans="1:32">
      <c r="A42" s="579"/>
      <c r="B42" s="557" t="s">
        <v>2495</v>
      </c>
      <c r="C42" s="557">
        <v>0.113</v>
      </c>
      <c r="D42" s="571"/>
      <c r="E42" s="571"/>
      <c r="F42" s="572">
        <v>3.8</v>
      </c>
      <c r="G42" s="557">
        <v>1</v>
      </c>
      <c r="H42" s="557">
        <v>0.44</v>
      </c>
      <c r="I42" s="557">
        <v>20</v>
      </c>
      <c r="J42" s="557" t="s">
        <v>2333</v>
      </c>
      <c r="K42" s="572">
        <v>3</v>
      </c>
      <c r="L42" s="557" t="s">
        <v>2492</v>
      </c>
      <c r="M42" s="560" t="s">
        <v>2493</v>
      </c>
      <c r="N42" s="560" t="s">
        <v>2494</v>
      </c>
      <c r="O42" s="560" t="s">
        <v>2337</v>
      </c>
      <c r="P42" s="557">
        <v>120</v>
      </c>
      <c r="Q42" s="557">
        <v>120</v>
      </c>
      <c r="R42" s="560" t="s">
        <v>2069</v>
      </c>
      <c r="S42" s="560" t="s">
        <v>2483</v>
      </c>
      <c r="T42" s="560" t="s">
        <v>2069</v>
      </c>
      <c r="U42" s="557" t="s">
        <v>2340</v>
      </c>
      <c r="V42" s="557"/>
      <c r="W42" s="572" t="s">
        <v>2404</v>
      </c>
      <c r="X42" s="560" t="s">
        <v>2484</v>
      </c>
      <c r="Y42" s="557">
        <v>5</v>
      </c>
      <c r="Z42" s="572" t="s">
        <v>2343</v>
      </c>
      <c r="AA42" s="572" t="s">
        <v>2344</v>
      </c>
      <c r="AB42" s="628" t="s">
        <v>2362</v>
      </c>
      <c r="AC42" s="626"/>
      <c r="AD42" s="636"/>
      <c r="AE42" s="637"/>
      <c r="AF42" s="619" t="s">
        <v>2470</v>
      </c>
    </row>
    <row r="43" s="527" customFormat="1" ht="17.25" customHeight="1" spans="1:32">
      <c r="A43" s="579"/>
      <c r="B43" s="557" t="s">
        <v>2496</v>
      </c>
      <c r="C43" s="557">
        <v>0.16</v>
      </c>
      <c r="D43" s="571"/>
      <c r="E43" s="571"/>
      <c r="F43" s="572">
        <v>3.8</v>
      </c>
      <c r="G43" s="557">
        <v>1</v>
      </c>
      <c r="H43" s="557">
        <v>0.6</v>
      </c>
      <c r="I43" s="557">
        <v>20</v>
      </c>
      <c r="J43" s="557" t="s">
        <v>2333</v>
      </c>
      <c r="K43" s="557">
        <v>2.9</v>
      </c>
      <c r="L43" s="557" t="s">
        <v>2419</v>
      </c>
      <c r="M43" s="560" t="s">
        <v>2488</v>
      </c>
      <c r="N43" s="560" t="s">
        <v>2497</v>
      </c>
      <c r="O43" s="602">
        <v>-1.60072532253567</v>
      </c>
      <c r="P43" s="557">
        <v>120</v>
      </c>
      <c r="Q43" s="557">
        <v>120</v>
      </c>
      <c r="R43" s="560" t="s">
        <v>2069</v>
      </c>
      <c r="S43" s="560" t="s">
        <v>2483</v>
      </c>
      <c r="T43" s="560" t="s">
        <v>2069</v>
      </c>
      <c r="U43" s="557" t="s">
        <v>2340</v>
      </c>
      <c r="V43" s="557"/>
      <c r="W43" s="572" t="s">
        <v>2404</v>
      </c>
      <c r="X43" s="560" t="s">
        <v>2484</v>
      </c>
      <c r="Y43" s="557">
        <v>5</v>
      </c>
      <c r="Z43" s="572" t="s">
        <v>2343</v>
      </c>
      <c r="AA43" s="572" t="s">
        <v>2344</v>
      </c>
      <c r="AB43" s="628" t="s">
        <v>2362</v>
      </c>
      <c r="AC43" s="626"/>
      <c r="AD43" s="636"/>
      <c r="AE43" s="637"/>
      <c r="AF43" s="619" t="s">
        <v>2470</v>
      </c>
    </row>
    <row r="44" s="527" customFormat="1" ht="17.25" customHeight="1" spans="1:32">
      <c r="A44" s="579"/>
      <c r="B44" s="557" t="s">
        <v>2498</v>
      </c>
      <c r="C44" s="557">
        <v>0.15</v>
      </c>
      <c r="D44" s="571"/>
      <c r="E44" s="571"/>
      <c r="F44" s="572">
        <v>3.8</v>
      </c>
      <c r="G44" s="557">
        <v>1</v>
      </c>
      <c r="H44" s="557">
        <v>0.6</v>
      </c>
      <c r="I44" s="557">
        <v>20</v>
      </c>
      <c r="J44" s="557" t="s">
        <v>2333</v>
      </c>
      <c r="K44" s="572">
        <v>3</v>
      </c>
      <c r="L44" s="557" t="s">
        <v>2419</v>
      </c>
      <c r="M44" s="560" t="s">
        <v>2488</v>
      </c>
      <c r="N44" s="560" t="s">
        <v>2497</v>
      </c>
      <c r="O44" s="602">
        <v>-1.60072532253567</v>
      </c>
      <c r="P44" s="557">
        <v>120</v>
      </c>
      <c r="Q44" s="557">
        <v>120</v>
      </c>
      <c r="R44" s="560" t="s">
        <v>2069</v>
      </c>
      <c r="S44" s="560" t="s">
        <v>2483</v>
      </c>
      <c r="T44" s="560" t="s">
        <v>2069</v>
      </c>
      <c r="U44" s="557" t="s">
        <v>2340</v>
      </c>
      <c r="V44" s="557"/>
      <c r="W44" s="572" t="s">
        <v>2404</v>
      </c>
      <c r="X44" s="560" t="s">
        <v>2484</v>
      </c>
      <c r="Y44" s="557">
        <v>5</v>
      </c>
      <c r="Z44" s="572" t="s">
        <v>2343</v>
      </c>
      <c r="AA44" s="572" t="s">
        <v>2344</v>
      </c>
      <c r="AB44" s="628" t="s">
        <v>2362</v>
      </c>
      <c r="AC44" s="626"/>
      <c r="AD44" s="636"/>
      <c r="AE44" s="637"/>
      <c r="AF44" s="619" t="s">
        <v>2470</v>
      </c>
    </row>
    <row r="45" s="527" customFormat="1" ht="17.25" customHeight="1" spans="1:32">
      <c r="A45" s="579"/>
      <c r="B45" s="555" t="s">
        <v>2499</v>
      </c>
      <c r="C45" s="555">
        <v>0.18</v>
      </c>
      <c r="D45" s="571"/>
      <c r="E45" s="571"/>
      <c r="F45" s="572">
        <v>3.8</v>
      </c>
      <c r="G45" s="557">
        <v>1</v>
      </c>
      <c r="H45" s="557">
        <v>0.6</v>
      </c>
      <c r="I45" s="557">
        <v>20</v>
      </c>
      <c r="J45" s="557" t="s">
        <v>2333</v>
      </c>
      <c r="K45" s="557">
        <v>2.9</v>
      </c>
      <c r="L45" s="555" t="s">
        <v>2500</v>
      </c>
      <c r="M45" s="560" t="s">
        <v>2501</v>
      </c>
      <c r="N45" s="560" t="s">
        <v>2502</v>
      </c>
      <c r="O45" s="602"/>
      <c r="P45" s="557">
        <v>120</v>
      </c>
      <c r="Q45" s="557">
        <v>120</v>
      </c>
      <c r="R45" s="560" t="s">
        <v>2069</v>
      </c>
      <c r="S45" s="560" t="s">
        <v>2503</v>
      </c>
      <c r="T45" s="560" t="s">
        <v>2069</v>
      </c>
      <c r="U45" s="557" t="s">
        <v>2340</v>
      </c>
      <c r="V45" s="557"/>
      <c r="W45" s="572" t="s">
        <v>2404</v>
      </c>
      <c r="X45" s="560" t="s">
        <v>2394</v>
      </c>
      <c r="Y45" s="557">
        <v>5</v>
      </c>
      <c r="Z45" s="572" t="s">
        <v>2343</v>
      </c>
      <c r="AA45" s="572" t="s">
        <v>2344</v>
      </c>
      <c r="AB45" s="628" t="s">
        <v>2362</v>
      </c>
      <c r="AC45" s="626"/>
      <c r="AD45" s="636"/>
      <c r="AE45" s="637"/>
      <c r="AF45" s="619" t="s">
        <v>2470</v>
      </c>
    </row>
    <row r="46" s="527" customFormat="1" ht="17.25" customHeight="1" spans="1:32">
      <c r="A46" s="579"/>
      <c r="B46" s="555" t="s">
        <v>2504</v>
      </c>
      <c r="C46" s="555">
        <v>0.17</v>
      </c>
      <c r="D46" s="571"/>
      <c r="E46" s="571"/>
      <c r="F46" s="572">
        <v>3.8</v>
      </c>
      <c r="G46" s="557">
        <v>1</v>
      </c>
      <c r="H46" s="557">
        <v>0.6</v>
      </c>
      <c r="I46" s="557">
        <v>20</v>
      </c>
      <c r="J46" s="557" t="s">
        <v>2333</v>
      </c>
      <c r="K46" s="572">
        <v>3</v>
      </c>
      <c r="L46" s="555" t="s">
        <v>2500</v>
      </c>
      <c r="M46" s="560" t="s">
        <v>2501</v>
      </c>
      <c r="N46" s="560" t="s">
        <v>2502</v>
      </c>
      <c r="O46" s="602"/>
      <c r="P46" s="557">
        <v>120</v>
      </c>
      <c r="Q46" s="557">
        <v>120</v>
      </c>
      <c r="R46" s="560" t="s">
        <v>2069</v>
      </c>
      <c r="S46" s="560" t="s">
        <v>2503</v>
      </c>
      <c r="T46" s="560" t="s">
        <v>2069</v>
      </c>
      <c r="U46" s="557" t="s">
        <v>2340</v>
      </c>
      <c r="V46" s="557"/>
      <c r="W46" s="572" t="s">
        <v>2404</v>
      </c>
      <c r="X46" s="560" t="s">
        <v>2394</v>
      </c>
      <c r="Y46" s="557">
        <v>5</v>
      </c>
      <c r="Z46" s="572" t="s">
        <v>2343</v>
      </c>
      <c r="AA46" s="572" t="s">
        <v>2344</v>
      </c>
      <c r="AB46" s="628" t="s">
        <v>2362</v>
      </c>
      <c r="AC46" s="626"/>
      <c r="AD46" s="636"/>
      <c r="AE46" s="637"/>
      <c r="AF46" s="619" t="s">
        <v>2470</v>
      </c>
    </row>
    <row r="47" s="527" customFormat="1" ht="17.25" customHeight="1" spans="1:32">
      <c r="A47" s="579"/>
      <c r="B47" s="557" t="s">
        <v>2505</v>
      </c>
      <c r="C47" s="555">
        <v>0.18</v>
      </c>
      <c r="D47" s="571"/>
      <c r="E47" s="571"/>
      <c r="F47" s="572">
        <v>3</v>
      </c>
      <c r="G47" s="573">
        <v>0.85</v>
      </c>
      <c r="H47" s="557">
        <v>0.6</v>
      </c>
      <c r="I47" s="557">
        <v>20</v>
      </c>
      <c r="J47" s="557" t="s">
        <v>2333</v>
      </c>
      <c r="K47" s="557">
        <v>2.9</v>
      </c>
      <c r="L47" s="557" t="s">
        <v>2414</v>
      </c>
      <c r="M47" s="560" t="s">
        <v>2347</v>
      </c>
      <c r="N47" s="560" t="s">
        <v>2506</v>
      </c>
      <c r="O47" s="560" t="s">
        <v>2337</v>
      </c>
      <c r="P47" s="557">
        <v>120</v>
      </c>
      <c r="Q47" s="557">
        <v>120</v>
      </c>
      <c r="R47" s="560" t="s">
        <v>2069</v>
      </c>
      <c r="S47" s="560" t="s">
        <v>2483</v>
      </c>
      <c r="T47" s="560" t="s">
        <v>2069</v>
      </c>
      <c r="U47" s="557" t="s">
        <v>2340</v>
      </c>
      <c r="V47" s="557"/>
      <c r="W47" s="572" t="s">
        <v>2404</v>
      </c>
      <c r="X47" s="560" t="s">
        <v>2484</v>
      </c>
      <c r="Y47" s="557">
        <v>5</v>
      </c>
      <c r="Z47" s="572" t="s">
        <v>2343</v>
      </c>
      <c r="AA47" s="572" t="s">
        <v>2344</v>
      </c>
      <c r="AB47" s="628" t="s">
        <v>2362</v>
      </c>
      <c r="AC47" s="626"/>
      <c r="AD47" s="636"/>
      <c r="AE47" s="637"/>
      <c r="AF47" s="619" t="s">
        <v>2470</v>
      </c>
    </row>
    <row r="48" s="527" customFormat="1" ht="17.25" customHeight="1" spans="1:32">
      <c r="A48" s="580"/>
      <c r="B48" s="557" t="s">
        <v>2507</v>
      </c>
      <c r="C48" s="555">
        <v>0.17</v>
      </c>
      <c r="D48" s="576"/>
      <c r="E48" s="576"/>
      <c r="F48" s="572">
        <v>3</v>
      </c>
      <c r="G48" s="573">
        <v>0.85</v>
      </c>
      <c r="H48" s="557">
        <v>0.6</v>
      </c>
      <c r="I48" s="557">
        <v>20</v>
      </c>
      <c r="J48" s="557" t="s">
        <v>2333</v>
      </c>
      <c r="K48" s="572">
        <v>3</v>
      </c>
      <c r="L48" s="557" t="s">
        <v>2414</v>
      </c>
      <c r="M48" s="560" t="s">
        <v>2347</v>
      </c>
      <c r="N48" s="560" t="s">
        <v>2506</v>
      </c>
      <c r="O48" s="560" t="s">
        <v>2337</v>
      </c>
      <c r="P48" s="557">
        <v>120</v>
      </c>
      <c r="Q48" s="557">
        <v>120</v>
      </c>
      <c r="R48" s="560" t="s">
        <v>2069</v>
      </c>
      <c r="S48" s="560" t="s">
        <v>2483</v>
      </c>
      <c r="T48" s="560" t="s">
        <v>2069</v>
      </c>
      <c r="U48" s="557" t="s">
        <v>2340</v>
      </c>
      <c r="V48" s="557"/>
      <c r="W48" s="572" t="s">
        <v>2404</v>
      </c>
      <c r="X48" s="560" t="s">
        <v>2484</v>
      </c>
      <c r="Y48" s="557">
        <v>5</v>
      </c>
      <c r="Z48" s="572" t="s">
        <v>2343</v>
      </c>
      <c r="AA48" s="572" t="s">
        <v>2344</v>
      </c>
      <c r="AB48" s="628" t="s">
        <v>2362</v>
      </c>
      <c r="AC48" s="629"/>
      <c r="AD48" s="638"/>
      <c r="AE48" s="639"/>
      <c r="AF48" s="619" t="s">
        <v>2470</v>
      </c>
    </row>
    <row r="49" s="527" customFormat="1" ht="17.25" customHeight="1" spans="1:32">
      <c r="A49" s="581" t="s">
        <v>2508</v>
      </c>
      <c r="B49" s="557" t="s">
        <v>2509</v>
      </c>
      <c r="C49" s="560">
        <v>0.102</v>
      </c>
      <c r="D49" s="560" t="s">
        <v>2390</v>
      </c>
      <c r="E49" s="560" t="s">
        <v>2390</v>
      </c>
      <c r="F49" s="560">
        <v>3.8</v>
      </c>
      <c r="G49" s="557">
        <v>1</v>
      </c>
      <c r="H49" s="557">
        <v>0.6</v>
      </c>
      <c r="I49" s="557">
        <v>20</v>
      </c>
      <c r="J49" s="557" t="s">
        <v>2333</v>
      </c>
      <c r="K49" s="557">
        <v>2.9</v>
      </c>
      <c r="L49" s="557" t="s">
        <v>2400</v>
      </c>
      <c r="M49" s="560" t="s">
        <v>2510</v>
      </c>
      <c r="N49" s="560" t="s">
        <v>2511</v>
      </c>
      <c r="O49" s="602">
        <v>-0.8285</v>
      </c>
      <c r="P49" s="557">
        <v>120</v>
      </c>
      <c r="Q49" s="557">
        <v>120</v>
      </c>
      <c r="R49" s="560" t="s">
        <v>2069</v>
      </c>
      <c r="S49" s="557">
        <v>565</v>
      </c>
      <c r="T49" s="560" t="s">
        <v>2069</v>
      </c>
      <c r="U49" s="557" t="s">
        <v>2340</v>
      </c>
      <c r="V49" s="557"/>
      <c r="W49" s="572" t="s">
        <v>2512</v>
      </c>
      <c r="X49" s="557" t="s">
        <v>2440</v>
      </c>
      <c r="Y49" s="557">
        <v>5</v>
      </c>
      <c r="Z49" s="557" t="s">
        <v>2343</v>
      </c>
      <c r="AA49" s="572">
        <v>2</v>
      </c>
      <c r="AB49" s="633">
        <v>4</v>
      </c>
      <c r="AC49" s="568" t="s">
        <v>2395</v>
      </c>
      <c r="AD49" s="568" t="s">
        <v>2442</v>
      </c>
      <c r="AE49" s="625" t="s">
        <v>2513</v>
      </c>
      <c r="AF49" s="619" t="s">
        <v>756</v>
      </c>
    </row>
    <row r="50" s="527" customFormat="1" ht="17.25" customHeight="1" spans="1:32">
      <c r="A50" s="582"/>
      <c r="B50" s="557" t="s">
        <v>2514</v>
      </c>
      <c r="C50" s="560">
        <v>0.1</v>
      </c>
      <c r="D50" s="571"/>
      <c r="E50" s="571"/>
      <c r="F50" s="560">
        <v>3.8</v>
      </c>
      <c r="G50" s="557">
        <v>1</v>
      </c>
      <c r="H50" s="557">
        <v>0.6</v>
      </c>
      <c r="I50" s="557">
        <v>20</v>
      </c>
      <c r="J50" s="557" t="s">
        <v>2333</v>
      </c>
      <c r="K50" s="572">
        <v>3</v>
      </c>
      <c r="L50" s="557" t="s">
        <v>2400</v>
      </c>
      <c r="M50" s="560" t="s">
        <v>2510</v>
      </c>
      <c r="N50" s="560" t="s">
        <v>2511</v>
      </c>
      <c r="O50" s="602">
        <v>-0.8285</v>
      </c>
      <c r="P50" s="557">
        <v>120</v>
      </c>
      <c r="Q50" s="557">
        <v>120</v>
      </c>
      <c r="R50" s="560" t="s">
        <v>2069</v>
      </c>
      <c r="S50" s="557">
        <v>565</v>
      </c>
      <c r="T50" s="560" t="s">
        <v>2069</v>
      </c>
      <c r="U50" s="557" t="s">
        <v>2340</v>
      </c>
      <c r="V50" s="557"/>
      <c r="W50" s="572" t="s">
        <v>2512</v>
      </c>
      <c r="X50" s="557" t="s">
        <v>2440</v>
      </c>
      <c r="Y50" s="557">
        <v>5</v>
      </c>
      <c r="Z50" s="557" t="s">
        <v>2343</v>
      </c>
      <c r="AA50" s="572">
        <v>2</v>
      </c>
      <c r="AB50" s="633">
        <v>4</v>
      </c>
      <c r="AC50" s="570"/>
      <c r="AD50" s="570"/>
      <c r="AE50" s="618"/>
      <c r="AF50" s="619" t="s">
        <v>756</v>
      </c>
    </row>
    <row r="51" s="527" customFormat="1" ht="17.25" customHeight="1" spans="1:32">
      <c r="A51" s="582"/>
      <c r="B51" s="555" t="s">
        <v>2515</v>
      </c>
      <c r="C51" s="556">
        <v>0.11</v>
      </c>
      <c r="D51" s="571"/>
      <c r="E51" s="571"/>
      <c r="F51" s="560">
        <v>3.8</v>
      </c>
      <c r="G51" s="557">
        <v>1</v>
      </c>
      <c r="H51" s="557">
        <v>0.6</v>
      </c>
      <c r="I51" s="557">
        <v>20</v>
      </c>
      <c r="J51" s="557" t="s">
        <v>2333</v>
      </c>
      <c r="K51" s="557">
        <v>2.9</v>
      </c>
      <c r="L51" s="555" t="s">
        <v>2516</v>
      </c>
      <c r="M51" s="571" t="s">
        <v>2517</v>
      </c>
      <c r="N51" s="571" t="s">
        <v>2518</v>
      </c>
      <c r="O51" s="602"/>
      <c r="P51" s="571">
        <v>120</v>
      </c>
      <c r="Q51" s="571">
        <v>120</v>
      </c>
      <c r="R51" s="571" t="s">
        <v>2379</v>
      </c>
      <c r="S51" s="571" t="s">
        <v>2519</v>
      </c>
      <c r="T51" s="571" t="s">
        <v>2520</v>
      </c>
      <c r="U51" s="571" t="s">
        <v>2340</v>
      </c>
      <c r="V51" s="571"/>
      <c r="W51" s="570" t="s">
        <v>2404</v>
      </c>
      <c r="X51" s="571" t="s">
        <v>2394</v>
      </c>
      <c r="Y51" s="571">
        <v>2.5</v>
      </c>
      <c r="Z51" s="557" t="s">
        <v>2422</v>
      </c>
      <c r="AA51" s="572" t="s">
        <v>2344</v>
      </c>
      <c r="AB51" s="633">
        <v>4</v>
      </c>
      <c r="AC51" s="570"/>
      <c r="AD51" s="570"/>
      <c r="AE51" s="618"/>
      <c r="AF51" s="619" t="s">
        <v>756</v>
      </c>
    </row>
    <row r="52" s="527" customFormat="1" ht="17.4" spans="1:32">
      <c r="A52" s="582"/>
      <c r="B52" s="557" t="s">
        <v>2521</v>
      </c>
      <c r="C52" s="560">
        <v>0.12</v>
      </c>
      <c r="D52" s="571"/>
      <c r="E52" s="571"/>
      <c r="F52" s="560">
        <v>3</v>
      </c>
      <c r="G52" s="560">
        <v>0.85</v>
      </c>
      <c r="H52" s="560">
        <v>0.6</v>
      </c>
      <c r="I52" s="557">
        <v>20</v>
      </c>
      <c r="J52" s="557" t="s">
        <v>2333</v>
      </c>
      <c r="K52" s="572">
        <v>3</v>
      </c>
      <c r="L52" s="557" t="s">
        <v>2487</v>
      </c>
      <c r="M52" s="560" t="s">
        <v>2522</v>
      </c>
      <c r="N52" s="560" t="s">
        <v>2523</v>
      </c>
      <c r="O52" s="560" t="s">
        <v>2337</v>
      </c>
      <c r="P52" s="557">
        <v>120</v>
      </c>
      <c r="Q52" s="557">
        <v>120</v>
      </c>
      <c r="R52" s="560" t="s">
        <v>2069</v>
      </c>
      <c r="S52" s="568" t="s">
        <v>2524</v>
      </c>
      <c r="T52" s="560" t="s">
        <v>2069</v>
      </c>
      <c r="U52" s="557" t="s">
        <v>2340</v>
      </c>
      <c r="V52" s="557"/>
      <c r="W52" s="572" t="s">
        <v>2512</v>
      </c>
      <c r="X52" s="560" t="s">
        <v>2525</v>
      </c>
      <c r="Y52" s="557">
        <v>5</v>
      </c>
      <c r="Z52" s="557" t="s">
        <v>2343</v>
      </c>
      <c r="AA52" s="572">
        <v>2</v>
      </c>
      <c r="AB52" s="633">
        <v>4</v>
      </c>
      <c r="AC52" s="570"/>
      <c r="AD52" s="570"/>
      <c r="AE52" s="618"/>
      <c r="AF52" s="619" t="s">
        <v>756</v>
      </c>
    </row>
    <row r="53" s="527" customFormat="1" ht="17.4" spans="1:32">
      <c r="A53" s="582"/>
      <c r="B53" s="557" t="s">
        <v>2526</v>
      </c>
      <c r="C53" s="560">
        <v>0.115</v>
      </c>
      <c r="D53" s="571"/>
      <c r="E53" s="571"/>
      <c r="F53" s="560">
        <v>3</v>
      </c>
      <c r="G53" s="560">
        <v>0.85</v>
      </c>
      <c r="H53" s="560">
        <v>0.6</v>
      </c>
      <c r="I53" s="557">
        <v>20</v>
      </c>
      <c r="J53" s="557" t="s">
        <v>2333</v>
      </c>
      <c r="K53" s="572">
        <v>3.1</v>
      </c>
      <c r="L53" s="557" t="s">
        <v>2487</v>
      </c>
      <c r="M53" s="560" t="s">
        <v>2522</v>
      </c>
      <c r="N53" s="560" t="s">
        <v>2523</v>
      </c>
      <c r="O53" s="560" t="s">
        <v>2337</v>
      </c>
      <c r="P53" s="557">
        <v>120</v>
      </c>
      <c r="Q53" s="557">
        <v>120</v>
      </c>
      <c r="R53" s="560" t="s">
        <v>2069</v>
      </c>
      <c r="S53" s="570"/>
      <c r="T53" s="560" t="s">
        <v>2069</v>
      </c>
      <c r="U53" s="557" t="s">
        <v>2340</v>
      </c>
      <c r="V53" s="557"/>
      <c r="W53" s="572" t="s">
        <v>2512</v>
      </c>
      <c r="X53" s="560" t="s">
        <v>2525</v>
      </c>
      <c r="Y53" s="557">
        <v>5</v>
      </c>
      <c r="Z53" s="557" t="s">
        <v>2343</v>
      </c>
      <c r="AA53" s="572">
        <v>2</v>
      </c>
      <c r="AB53" s="633">
        <v>4</v>
      </c>
      <c r="AC53" s="570"/>
      <c r="AD53" s="570"/>
      <c r="AE53" s="618"/>
      <c r="AF53" s="619" t="s">
        <v>756</v>
      </c>
    </row>
    <row r="54" s="527" customFormat="1" ht="17.4" spans="1:32">
      <c r="A54" s="582"/>
      <c r="B54" s="557" t="s">
        <v>2527</v>
      </c>
      <c r="C54" s="560">
        <v>0.11</v>
      </c>
      <c r="D54" s="571"/>
      <c r="E54" s="571"/>
      <c r="F54" s="560">
        <v>3</v>
      </c>
      <c r="G54" s="560">
        <v>0.85</v>
      </c>
      <c r="H54" s="560">
        <v>0.6</v>
      </c>
      <c r="I54" s="557">
        <v>20</v>
      </c>
      <c r="J54" s="557" t="s">
        <v>2333</v>
      </c>
      <c r="K54" s="572">
        <v>3.2</v>
      </c>
      <c r="L54" s="557" t="s">
        <v>2487</v>
      </c>
      <c r="M54" s="560" t="s">
        <v>2522</v>
      </c>
      <c r="N54" s="560" t="s">
        <v>2523</v>
      </c>
      <c r="O54" s="560" t="s">
        <v>2337</v>
      </c>
      <c r="P54" s="557">
        <v>120</v>
      </c>
      <c r="Q54" s="557">
        <v>120</v>
      </c>
      <c r="R54" s="560" t="s">
        <v>2069</v>
      </c>
      <c r="S54" s="575"/>
      <c r="T54" s="560" t="s">
        <v>2069</v>
      </c>
      <c r="U54" s="557" t="s">
        <v>2340</v>
      </c>
      <c r="V54" s="557"/>
      <c r="W54" s="572" t="s">
        <v>2512</v>
      </c>
      <c r="X54" s="560" t="s">
        <v>2525</v>
      </c>
      <c r="Y54" s="557">
        <v>5</v>
      </c>
      <c r="Z54" s="557" t="s">
        <v>2343</v>
      </c>
      <c r="AA54" s="572">
        <v>2</v>
      </c>
      <c r="AB54" s="633">
        <v>4</v>
      </c>
      <c r="AC54" s="570"/>
      <c r="AD54" s="570"/>
      <c r="AE54" s="618"/>
      <c r="AF54" s="619" t="s">
        <v>756</v>
      </c>
    </row>
    <row r="55" s="528" customFormat="1" ht="17.4" spans="1:32">
      <c r="A55" s="582"/>
      <c r="B55" s="557" t="s">
        <v>2528</v>
      </c>
      <c r="C55" s="560">
        <v>0.16</v>
      </c>
      <c r="D55" s="571"/>
      <c r="E55" s="571"/>
      <c r="F55" s="560">
        <v>3</v>
      </c>
      <c r="G55" s="560">
        <v>0.85</v>
      </c>
      <c r="H55" s="560">
        <v>0.6</v>
      </c>
      <c r="I55" s="557">
        <v>20</v>
      </c>
      <c r="J55" s="557" t="s">
        <v>2333</v>
      </c>
      <c r="K55" s="572">
        <v>2.9</v>
      </c>
      <c r="L55" s="557" t="s">
        <v>2529</v>
      </c>
      <c r="M55" s="560" t="s">
        <v>2530</v>
      </c>
      <c r="N55" s="560" t="s">
        <v>2531</v>
      </c>
      <c r="O55" s="560" t="s">
        <v>7</v>
      </c>
      <c r="P55" s="557">
        <v>120</v>
      </c>
      <c r="Q55" s="557">
        <v>120</v>
      </c>
      <c r="R55" s="560">
        <v>540</v>
      </c>
      <c r="S55" s="575" t="s">
        <v>104</v>
      </c>
      <c r="T55" s="560">
        <v>630</v>
      </c>
      <c r="U55" s="557" t="s">
        <v>2340</v>
      </c>
      <c r="V55" s="557"/>
      <c r="W55" s="572" t="s">
        <v>2532</v>
      </c>
      <c r="X55" s="560" t="s">
        <v>2440</v>
      </c>
      <c r="Y55" s="557">
        <v>5</v>
      </c>
      <c r="Z55" s="557" t="s">
        <v>1280</v>
      </c>
      <c r="AA55" s="572" t="s">
        <v>2344</v>
      </c>
      <c r="AB55" s="633" t="s">
        <v>2362</v>
      </c>
      <c r="AC55" s="570"/>
      <c r="AD55" s="570"/>
      <c r="AE55" s="618"/>
      <c r="AF55" s="619" t="s">
        <v>756</v>
      </c>
    </row>
    <row r="56" s="528" customFormat="1" ht="17.4" spans="1:32">
      <c r="A56" s="582"/>
      <c r="B56" s="557" t="s">
        <v>2533</v>
      </c>
      <c r="C56" s="560">
        <v>0.15</v>
      </c>
      <c r="D56" s="571"/>
      <c r="E56" s="571"/>
      <c r="F56" s="557">
        <v>3</v>
      </c>
      <c r="G56" s="557">
        <v>0.85</v>
      </c>
      <c r="H56" s="557">
        <v>0.6</v>
      </c>
      <c r="I56" s="557">
        <v>20</v>
      </c>
      <c r="J56" s="557" t="s">
        <v>2333</v>
      </c>
      <c r="K56" s="572">
        <v>3</v>
      </c>
      <c r="L56" s="557" t="s">
        <v>2534</v>
      </c>
      <c r="M56" s="560" t="s">
        <v>2530</v>
      </c>
      <c r="N56" s="560" t="s">
        <v>2531</v>
      </c>
      <c r="O56" s="560" t="s">
        <v>7</v>
      </c>
      <c r="P56" s="557">
        <v>120</v>
      </c>
      <c r="Q56" s="557">
        <v>120</v>
      </c>
      <c r="R56" s="560">
        <v>540</v>
      </c>
      <c r="S56" s="575" t="s">
        <v>104</v>
      </c>
      <c r="T56" s="560">
        <v>630</v>
      </c>
      <c r="U56" s="557" t="s">
        <v>2340</v>
      </c>
      <c r="V56" s="557"/>
      <c r="W56" s="572" t="s">
        <v>2532</v>
      </c>
      <c r="X56" s="560" t="s">
        <v>2440</v>
      </c>
      <c r="Y56" s="557">
        <v>5</v>
      </c>
      <c r="Z56" s="557" t="s">
        <v>1280</v>
      </c>
      <c r="AA56" s="572" t="s">
        <v>2344</v>
      </c>
      <c r="AB56" s="633" t="s">
        <v>2362</v>
      </c>
      <c r="AC56" s="575"/>
      <c r="AD56" s="575"/>
      <c r="AE56" s="623"/>
      <c r="AF56" s="619" t="s">
        <v>756</v>
      </c>
    </row>
    <row r="57" s="531" customFormat="1" ht="17.4" spans="1:32">
      <c r="A57" s="583"/>
      <c r="B57" s="557" t="s">
        <v>2535</v>
      </c>
      <c r="C57" s="560">
        <v>0.17</v>
      </c>
      <c r="D57" s="576"/>
      <c r="E57" s="576"/>
      <c r="F57" s="546">
        <v>3</v>
      </c>
      <c r="G57" s="546">
        <v>0.85</v>
      </c>
      <c r="H57" s="584">
        <v>0.6</v>
      </c>
      <c r="I57" s="557">
        <v>20</v>
      </c>
      <c r="J57" s="557" t="s">
        <v>2333</v>
      </c>
      <c r="K57" s="572">
        <v>2.9</v>
      </c>
      <c r="L57" s="557" t="s">
        <v>2458</v>
      </c>
      <c r="M57" s="553" t="s">
        <v>2536</v>
      </c>
      <c r="N57" s="553" t="s">
        <v>2531</v>
      </c>
      <c r="O57" s="560"/>
      <c r="P57" s="553">
        <v>120</v>
      </c>
      <c r="Q57" s="553">
        <v>120</v>
      </c>
      <c r="R57" s="553">
        <v>540</v>
      </c>
      <c r="S57" s="553" t="s">
        <v>2379</v>
      </c>
      <c r="T57" s="553">
        <v>630</v>
      </c>
      <c r="U57" s="553" t="s">
        <v>2340</v>
      </c>
      <c r="V57" s="553"/>
      <c r="W57" s="553" t="s">
        <v>2532</v>
      </c>
      <c r="X57" s="553" t="s">
        <v>2537</v>
      </c>
      <c r="Y57" s="557">
        <v>5</v>
      </c>
      <c r="Z57" s="557" t="s">
        <v>1280</v>
      </c>
      <c r="AA57" s="548" t="s">
        <v>2344</v>
      </c>
      <c r="AB57" s="553" t="s">
        <v>2538</v>
      </c>
      <c r="AC57" s="570"/>
      <c r="AD57" s="570"/>
      <c r="AE57" s="618"/>
      <c r="AF57" s="619" t="s">
        <v>756</v>
      </c>
    </row>
    <row r="58" s="527" customFormat="1" ht="20.25" customHeight="1" spans="1:32">
      <c r="A58" s="585" t="s">
        <v>2539</v>
      </c>
      <c r="B58" s="557" t="s">
        <v>2540</v>
      </c>
      <c r="C58" s="557">
        <v>0.12</v>
      </c>
      <c r="D58" s="560" t="s">
        <v>2390</v>
      </c>
      <c r="E58" s="560" t="s">
        <v>2390</v>
      </c>
      <c r="F58" s="573">
        <v>3.8</v>
      </c>
      <c r="G58" s="573">
        <v>1</v>
      </c>
      <c r="H58" s="586">
        <v>0.6</v>
      </c>
      <c r="I58" s="557">
        <v>20</v>
      </c>
      <c r="J58" s="557" t="s">
        <v>2333</v>
      </c>
      <c r="K58" s="557">
        <v>2.9</v>
      </c>
      <c r="L58" s="557" t="s">
        <v>2541</v>
      </c>
      <c r="M58" s="557" t="s">
        <v>2542</v>
      </c>
      <c r="N58" s="557" t="s">
        <v>2543</v>
      </c>
      <c r="O58" s="596">
        <v>-1.1155</v>
      </c>
      <c r="P58" s="604">
        <v>120</v>
      </c>
      <c r="Q58" s="604">
        <v>120</v>
      </c>
      <c r="R58" s="604" t="s">
        <v>2069</v>
      </c>
      <c r="S58" s="609">
        <v>567</v>
      </c>
      <c r="T58" s="604" t="s">
        <v>2069</v>
      </c>
      <c r="U58" s="610" t="s">
        <v>2340</v>
      </c>
      <c r="V58" s="610"/>
      <c r="W58" s="572" t="s">
        <v>2544</v>
      </c>
      <c r="X58" s="611" t="s">
        <v>2394</v>
      </c>
      <c r="Y58" s="611">
        <v>2.5</v>
      </c>
      <c r="Z58" s="572" t="s">
        <v>2343</v>
      </c>
      <c r="AA58" s="640" t="s">
        <v>2545</v>
      </c>
      <c r="AB58" s="557" t="s">
        <v>2546</v>
      </c>
      <c r="AC58" s="624" t="s">
        <v>2547</v>
      </c>
      <c r="AD58" s="634" t="s">
        <v>2442</v>
      </c>
      <c r="AE58" s="635"/>
      <c r="AF58" s="619" t="s">
        <v>2053</v>
      </c>
    </row>
    <row r="59" s="527" customFormat="1" ht="20.25" customHeight="1" spans="1:32">
      <c r="A59" s="587"/>
      <c r="B59" s="557" t="s">
        <v>2548</v>
      </c>
      <c r="C59" s="557">
        <v>0.1</v>
      </c>
      <c r="D59" s="571"/>
      <c r="E59" s="571"/>
      <c r="F59" s="573">
        <v>3.8</v>
      </c>
      <c r="G59" s="573">
        <v>1</v>
      </c>
      <c r="H59" s="586">
        <v>0.6</v>
      </c>
      <c r="I59" s="557">
        <v>20</v>
      </c>
      <c r="J59" s="557" t="s">
        <v>2333</v>
      </c>
      <c r="K59" s="557">
        <v>2.9</v>
      </c>
      <c r="L59" s="557" t="s">
        <v>2549</v>
      </c>
      <c r="M59" s="557" t="s">
        <v>2542</v>
      </c>
      <c r="N59" s="557" t="s">
        <v>2543</v>
      </c>
      <c r="O59" s="596">
        <v>-1.19266666666667</v>
      </c>
      <c r="P59" s="604">
        <v>120</v>
      </c>
      <c r="Q59" s="604">
        <v>120</v>
      </c>
      <c r="R59" s="604" t="s">
        <v>2069</v>
      </c>
      <c r="S59" s="609">
        <v>564</v>
      </c>
      <c r="T59" s="604" t="s">
        <v>2069</v>
      </c>
      <c r="U59" s="610" t="s">
        <v>2340</v>
      </c>
      <c r="V59" s="610"/>
      <c r="W59" s="572" t="s">
        <v>2544</v>
      </c>
      <c r="X59" s="611" t="s">
        <v>2394</v>
      </c>
      <c r="Y59" s="611">
        <v>2.5</v>
      </c>
      <c r="Z59" s="572" t="s">
        <v>2343</v>
      </c>
      <c r="AA59" s="640" t="s">
        <v>2545</v>
      </c>
      <c r="AB59" s="557" t="s">
        <v>2546</v>
      </c>
      <c r="AC59" s="626"/>
      <c r="AD59" s="641"/>
      <c r="AE59" s="642"/>
      <c r="AF59" s="619" t="s">
        <v>2053</v>
      </c>
    </row>
    <row r="60" s="527" customFormat="1" ht="20.25" customHeight="1" spans="1:32">
      <c r="A60" s="587"/>
      <c r="B60" s="557" t="s">
        <v>2550</v>
      </c>
      <c r="C60" s="557">
        <v>0.1</v>
      </c>
      <c r="D60" s="571"/>
      <c r="E60" s="571"/>
      <c r="F60" s="573">
        <v>3.8</v>
      </c>
      <c r="G60" s="573">
        <v>1</v>
      </c>
      <c r="H60" s="586">
        <v>0.6</v>
      </c>
      <c r="I60" s="557">
        <v>20</v>
      </c>
      <c r="J60" s="557" t="s">
        <v>2333</v>
      </c>
      <c r="K60" s="557">
        <v>2.9</v>
      </c>
      <c r="L60" s="557" t="s">
        <v>2551</v>
      </c>
      <c r="M60" s="557" t="s">
        <v>2552</v>
      </c>
      <c r="N60" s="557" t="s">
        <v>2543</v>
      </c>
      <c r="O60" s="596">
        <v>-1.18079852744861</v>
      </c>
      <c r="P60" s="604">
        <v>120</v>
      </c>
      <c r="Q60" s="604">
        <v>120</v>
      </c>
      <c r="R60" s="604" t="s">
        <v>2069</v>
      </c>
      <c r="S60" s="572">
        <v>567</v>
      </c>
      <c r="T60" s="604" t="s">
        <v>2069</v>
      </c>
      <c r="U60" s="610" t="s">
        <v>2340</v>
      </c>
      <c r="V60" s="610"/>
      <c r="W60" s="572" t="s">
        <v>2544</v>
      </c>
      <c r="X60" s="611" t="s">
        <v>2394</v>
      </c>
      <c r="Y60" s="611">
        <v>2.5</v>
      </c>
      <c r="Z60" s="572" t="s">
        <v>2343</v>
      </c>
      <c r="AA60" s="640" t="s">
        <v>2545</v>
      </c>
      <c r="AB60" s="557" t="s">
        <v>2546</v>
      </c>
      <c r="AC60" s="626"/>
      <c r="AD60" s="641"/>
      <c r="AE60" s="642"/>
      <c r="AF60" s="619" t="s">
        <v>2053</v>
      </c>
    </row>
    <row r="61" s="527" customFormat="1" ht="20.25" customHeight="1" spans="1:32">
      <c r="A61" s="587"/>
      <c r="B61" s="557" t="s">
        <v>2553</v>
      </c>
      <c r="C61" s="557">
        <v>0.25</v>
      </c>
      <c r="D61" s="571"/>
      <c r="E61" s="571"/>
      <c r="F61" s="573">
        <v>3.8</v>
      </c>
      <c r="G61" s="573">
        <v>1</v>
      </c>
      <c r="H61" s="586">
        <v>0.6</v>
      </c>
      <c r="I61" s="557">
        <v>20</v>
      </c>
      <c r="J61" s="557" t="s">
        <v>2333</v>
      </c>
      <c r="K61" s="557">
        <v>2.9</v>
      </c>
      <c r="L61" s="557" t="s">
        <v>2554</v>
      </c>
      <c r="M61" s="557" t="s">
        <v>2555</v>
      </c>
      <c r="N61" s="557" t="s">
        <v>2556</v>
      </c>
      <c r="O61" s="596">
        <v>-1.1713</v>
      </c>
      <c r="P61" s="604">
        <v>120</v>
      </c>
      <c r="Q61" s="604">
        <v>120</v>
      </c>
      <c r="R61" s="604" t="s">
        <v>2069</v>
      </c>
      <c r="S61" s="572">
        <v>562</v>
      </c>
      <c r="T61" s="604" t="s">
        <v>2069</v>
      </c>
      <c r="U61" s="610" t="s">
        <v>2340</v>
      </c>
      <c r="V61" s="610"/>
      <c r="W61" s="572" t="s">
        <v>2544</v>
      </c>
      <c r="X61" s="611" t="s">
        <v>2394</v>
      </c>
      <c r="Y61" s="611">
        <v>2.5</v>
      </c>
      <c r="Z61" s="572" t="s">
        <v>2343</v>
      </c>
      <c r="AA61" s="640" t="s">
        <v>2545</v>
      </c>
      <c r="AB61" s="557" t="s">
        <v>2557</v>
      </c>
      <c r="AC61" s="626"/>
      <c r="AD61" s="641"/>
      <c r="AE61" s="642"/>
      <c r="AF61" s="619" t="s">
        <v>2053</v>
      </c>
    </row>
    <row r="62" s="527" customFormat="1" ht="20.25" customHeight="1" spans="1:32">
      <c r="A62" s="587"/>
      <c r="B62" s="557" t="s">
        <v>2558</v>
      </c>
      <c r="C62" s="557">
        <v>0.2</v>
      </c>
      <c r="D62" s="571"/>
      <c r="E62" s="571"/>
      <c r="F62" s="573">
        <v>3.8</v>
      </c>
      <c r="G62" s="573">
        <v>1</v>
      </c>
      <c r="H62" s="586">
        <v>0.6</v>
      </c>
      <c r="I62" s="557">
        <v>20</v>
      </c>
      <c r="J62" s="557" t="s">
        <v>2333</v>
      </c>
      <c r="K62" s="557">
        <v>2.9</v>
      </c>
      <c r="L62" s="557" t="s">
        <v>2559</v>
      </c>
      <c r="M62" s="557" t="s">
        <v>2560</v>
      </c>
      <c r="N62" s="557" t="s">
        <v>2556</v>
      </c>
      <c r="O62" s="596" t="s">
        <v>2337</v>
      </c>
      <c r="P62" s="604">
        <v>120</v>
      </c>
      <c r="Q62" s="604">
        <v>120</v>
      </c>
      <c r="R62" s="604" t="s">
        <v>2069</v>
      </c>
      <c r="S62" s="572">
        <v>562</v>
      </c>
      <c r="T62" s="604" t="s">
        <v>2069</v>
      </c>
      <c r="U62" s="610" t="s">
        <v>2340</v>
      </c>
      <c r="V62" s="610"/>
      <c r="W62" s="572" t="s">
        <v>2544</v>
      </c>
      <c r="X62" s="611" t="s">
        <v>2394</v>
      </c>
      <c r="Y62" s="611">
        <v>2.5</v>
      </c>
      <c r="Z62" s="572" t="s">
        <v>2343</v>
      </c>
      <c r="AA62" s="640" t="s">
        <v>2545</v>
      </c>
      <c r="AB62" s="557" t="s">
        <v>2546</v>
      </c>
      <c r="AC62" s="626"/>
      <c r="AD62" s="641"/>
      <c r="AE62" s="642"/>
      <c r="AF62" s="619" t="s">
        <v>2053</v>
      </c>
    </row>
    <row r="63" s="527" customFormat="1" ht="20.25" customHeight="1" spans="1:32">
      <c r="A63" s="587"/>
      <c r="B63" s="557" t="s">
        <v>2561</v>
      </c>
      <c r="C63" s="557">
        <v>0.18</v>
      </c>
      <c r="D63" s="571"/>
      <c r="E63" s="571"/>
      <c r="F63" s="573">
        <v>3.8</v>
      </c>
      <c r="G63" s="573">
        <v>1</v>
      </c>
      <c r="H63" s="586">
        <v>0.6</v>
      </c>
      <c r="I63" s="557">
        <v>20</v>
      </c>
      <c r="J63" s="557" t="s">
        <v>2333</v>
      </c>
      <c r="K63" s="557">
        <v>2.9</v>
      </c>
      <c r="L63" s="557" t="s">
        <v>2419</v>
      </c>
      <c r="M63" s="557" t="s">
        <v>2562</v>
      </c>
      <c r="N63" s="557" t="s">
        <v>2563</v>
      </c>
      <c r="O63" s="596">
        <v>-1.14106666666667</v>
      </c>
      <c r="P63" s="604">
        <v>120</v>
      </c>
      <c r="Q63" s="604">
        <v>120</v>
      </c>
      <c r="R63" s="604" t="s">
        <v>2069</v>
      </c>
      <c r="S63" s="572">
        <v>559</v>
      </c>
      <c r="T63" s="604" t="s">
        <v>2069</v>
      </c>
      <c r="U63" s="610" t="s">
        <v>2340</v>
      </c>
      <c r="V63" s="610"/>
      <c r="W63" s="572" t="s">
        <v>2544</v>
      </c>
      <c r="X63" s="611" t="s">
        <v>2394</v>
      </c>
      <c r="Y63" s="611">
        <v>2.5</v>
      </c>
      <c r="Z63" s="572" t="s">
        <v>2343</v>
      </c>
      <c r="AA63" s="640" t="s">
        <v>2545</v>
      </c>
      <c r="AB63" s="557" t="s">
        <v>2557</v>
      </c>
      <c r="AC63" s="626"/>
      <c r="AD63" s="641"/>
      <c r="AE63" s="643"/>
      <c r="AF63" s="619" t="s">
        <v>2053</v>
      </c>
    </row>
    <row r="64" s="528" customFormat="1" ht="20.25" customHeight="1" spans="1:32">
      <c r="A64" s="587"/>
      <c r="B64" s="557" t="s">
        <v>2564</v>
      </c>
      <c r="C64" s="557">
        <v>0.2</v>
      </c>
      <c r="D64" s="571"/>
      <c r="E64" s="571"/>
      <c r="F64" s="573">
        <v>3</v>
      </c>
      <c r="G64" s="573">
        <v>0.85</v>
      </c>
      <c r="H64" s="586">
        <v>0.6</v>
      </c>
      <c r="I64" s="557">
        <v>20</v>
      </c>
      <c r="J64" s="557" t="s">
        <v>2333</v>
      </c>
      <c r="K64" s="572">
        <v>2.9</v>
      </c>
      <c r="L64" s="557" t="s">
        <v>2346</v>
      </c>
      <c r="M64" s="605" t="s">
        <v>2565</v>
      </c>
      <c r="N64" s="557" t="s">
        <v>2566</v>
      </c>
      <c r="O64" s="560" t="s">
        <v>2337</v>
      </c>
      <c r="P64" s="557">
        <v>120</v>
      </c>
      <c r="Q64" s="557">
        <v>120</v>
      </c>
      <c r="R64" s="571" t="s">
        <v>2349</v>
      </c>
      <c r="S64" s="571" t="s">
        <v>2069</v>
      </c>
      <c r="T64" s="571" t="s">
        <v>2339</v>
      </c>
      <c r="U64" s="557" t="s">
        <v>2340</v>
      </c>
      <c r="V64" s="557"/>
      <c r="W64" s="572" t="s">
        <v>2053</v>
      </c>
      <c r="X64" s="571" t="s">
        <v>2440</v>
      </c>
      <c r="Y64" s="571">
        <v>2.5</v>
      </c>
      <c r="Z64" s="557" t="s">
        <v>2422</v>
      </c>
      <c r="AA64" s="572" t="s">
        <v>2567</v>
      </c>
      <c r="AB64" s="572" t="s">
        <v>2345</v>
      </c>
      <c r="AC64" s="629"/>
      <c r="AD64" s="641"/>
      <c r="AE64" s="643"/>
      <c r="AF64" s="619" t="s">
        <v>2053</v>
      </c>
    </row>
    <row r="65" s="531" customFormat="1" ht="20.25" customHeight="1" spans="1:32">
      <c r="A65" s="644"/>
      <c r="B65" s="557" t="s">
        <v>2568</v>
      </c>
      <c r="C65" s="557">
        <v>0.21</v>
      </c>
      <c r="D65" s="576"/>
      <c r="E65" s="576"/>
      <c r="F65" s="573">
        <v>3</v>
      </c>
      <c r="G65" s="573">
        <v>0.85</v>
      </c>
      <c r="H65" s="586">
        <v>0.6</v>
      </c>
      <c r="I65" s="557">
        <v>20</v>
      </c>
      <c r="J65" s="557" t="s">
        <v>2333</v>
      </c>
      <c r="K65" s="572">
        <v>2.9</v>
      </c>
      <c r="L65" s="557" t="s">
        <v>2569</v>
      </c>
      <c r="M65" s="605" t="s">
        <v>2565</v>
      </c>
      <c r="N65" s="557" t="s">
        <v>2566</v>
      </c>
      <c r="O65" s="560" t="s">
        <v>2337</v>
      </c>
      <c r="P65" s="557">
        <v>120</v>
      </c>
      <c r="Q65" s="557">
        <v>120</v>
      </c>
      <c r="R65" s="571" t="s">
        <v>2349</v>
      </c>
      <c r="S65" s="571" t="s">
        <v>2069</v>
      </c>
      <c r="T65" s="571" t="s">
        <v>2339</v>
      </c>
      <c r="U65" s="557" t="s">
        <v>2340</v>
      </c>
      <c r="V65" s="557"/>
      <c r="W65" s="572" t="s">
        <v>2053</v>
      </c>
      <c r="X65" s="695" t="s">
        <v>2570</v>
      </c>
      <c r="Y65" s="571">
        <v>2.5</v>
      </c>
      <c r="Z65" s="557" t="s">
        <v>2422</v>
      </c>
      <c r="AA65" s="696">
        <v>3</v>
      </c>
      <c r="AB65" s="696" t="s">
        <v>2571</v>
      </c>
      <c r="AC65" s="629"/>
      <c r="AD65" s="641"/>
      <c r="AE65" s="643"/>
      <c r="AF65" s="619" t="s">
        <v>2053</v>
      </c>
    </row>
    <row r="66" s="532" customFormat="1" ht="120.75" customHeight="1" spans="1:32">
      <c r="A66" s="645" t="s">
        <v>2572</v>
      </c>
      <c r="B66" s="557" t="s">
        <v>2573</v>
      </c>
      <c r="C66" s="557">
        <v>0.5</v>
      </c>
      <c r="D66" s="576"/>
      <c r="E66" s="576"/>
      <c r="F66" s="573">
        <v>3</v>
      </c>
      <c r="G66" s="573">
        <v>0.85</v>
      </c>
      <c r="H66" s="586">
        <v>0.6</v>
      </c>
      <c r="I66" s="557">
        <v>20</v>
      </c>
      <c r="J66" s="557" t="s">
        <v>2333</v>
      </c>
      <c r="K66" s="572">
        <v>2.9</v>
      </c>
      <c r="L66" s="557" t="s">
        <v>2376</v>
      </c>
      <c r="M66" s="605" t="s">
        <v>2574</v>
      </c>
      <c r="N66" s="557" t="s">
        <v>2518</v>
      </c>
      <c r="O66" s="560" t="s">
        <v>7</v>
      </c>
      <c r="P66" s="557">
        <v>120</v>
      </c>
      <c r="Q66" s="557">
        <v>120</v>
      </c>
      <c r="R66" s="571" t="s">
        <v>2349</v>
      </c>
      <c r="S66" s="571" t="s">
        <v>2069</v>
      </c>
      <c r="T66" s="571" t="s">
        <v>2339</v>
      </c>
      <c r="U66" s="557" t="s">
        <v>2340</v>
      </c>
      <c r="V66" s="557"/>
      <c r="W66" s="572" t="s">
        <v>2575</v>
      </c>
      <c r="X66" s="571" t="s">
        <v>2576</v>
      </c>
      <c r="Y66" s="571">
        <v>2.5</v>
      </c>
      <c r="Z66" s="557" t="s">
        <v>1280</v>
      </c>
      <c r="AA66" s="572" t="s">
        <v>2344</v>
      </c>
      <c r="AB66" s="572" t="s">
        <v>2344</v>
      </c>
      <c r="AC66" s="629" t="s">
        <v>2577</v>
      </c>
      <c r="AD66" s="641" t="s">
        <v>2442</v>
      </c>
      <c r="AE66" s="643"/>
      <c r="AF66" s="619" t="s">
        <v>2578</v>
      </c>
    </row>
    <row r="67" ht="125.1" customHeight="1" spans="1:32">
      <c r="A67" s="646" t="s">
        <v>2579</v>
      </c>
      <c r="B67" s="557" t="s">
        <v>2580</v>
      </c>
      <c r="C67" s="557">
        <v>0.095</v>
      </c>
      <c r="D67" s="557" t="s">
        <v>2581</v>
      </c>
      <c r="E67" s="557"/>
      <c r="F67" s="572">
        <v>3.8</v>
      </c>
      <c r="G67" s="586">
        <v>1</v>
      </c>
      <c r="H67" s="557">
        <v>0.6</v>
      </c>
      <c r="I67" s="557">
        <v>20</v>
      </c>
      <c r="J67" s="557" t="s">
        <v>2333</v>
      </c>
      <c r="K67" s="557">
        <v>2.9</v>
      </c>
      <c r="L67" s="557" t="s">
        <v>2582</v>
      </c>
      <c r="M67" s="557" t="s">
        <v>2583</v>
      </c>
      <c r="N67" s="557" t="s">
        <v>2584</v>
      </c>
      <c r="O67" s="596" t="s">
        <v>2337</v>
      </c>
      <c r="P67" s="604">
        <v>120</v>
      </c>
      <c r="Q67" s="604">
        <v>120</v>
      </c>
      <c r="R67" s="604" t="s">
        <v>2069</v>
      </c>
      <c r="S67" s="572" t="s">
        <v>2585</v>
      </c>
      <c r="T67" s="604" t="s">
        <v>2069</v>
      </c>
      <c r="U67" s="572" t="s">
        <v>2340</v>
      </c>
      <c r="V67" s="572"/>
      <c r="W67" s="572" t="s">
        <v>2404</v>
      </c>
      <c r="X67" s="611" t="s">
        <v>2440</v>
      </c>
      <c r="Y67" s="611">
        <v>2.5</v>
      </c>
      <c r="Z67" s="572" t="s">
        <v>2422</v>
      </c>
      <c r="AA67" s="572">
        <v>2</v>
      </c>
      <c r="AB67" s="572" t="s">
        <v>2344</v>
      </c>
      <c r="AC67" s="289" t="s">
        <v>2586</v>
      </c>
      <c r="AD67" s="288" t="s">
        <v>2442</v>
      </c>
      <c r="AE67" s="697"/>
      <c r="AF67" s="619" t="s">
        <v>2587</v>
      </c>
    </row>
    <row r="68" ht="18" customHeight="1" spans="1:12">
      <c r="A68" s="647"/>
      <c r="B68" s="648" t="s">
        <v>2588</v>
      </c>
      <c r="C68" s="649"/>
      <c r="D68" s="649"/>
      <c r="E68" s="649"/>
      <c r="F68" s="649"/>
      <c r="G68" s="649"/>
      <c r="H68" s="649"/>
      <c r="I68" s="649"/>
      <c r="J68" s="649"/>
      <c r="K68" s="681"/>
      <c r="L68" s="651"/>
    </row>
    <row r="69" ht="18" customHeight="1" spans="1:12">
      <c r="A69" s="647"/>
      <c r="B69" s="650"/>
      <c r="C69" s="651"/>
      <c r="D69" s="651"/>
      <c r="E69" s="651"/>
      <c r="F69" s="651"/>
      <c r="G69" s="651"/>
      <c r="H69" s="651"/>
      <c r="I69" s="651"/>
      <c r="J69" s="651"/>
      <c r="K69" s="682"/>
      <c r="L69" s="651"/>
    </row>
    <row r="70" ht="18" customHeight="1" spans="1:12">
      <c r="A70" s="647"/>
      <c r="B70" s="650"/>
      <c r="C70" s="651"/>
      <c r="D70" s="651"/>
      <c r="E70" s="651"/>
      <c r="F70" s="651"/>
      <c r="G70" s="651"/>
      <c r="H70" s="651"/>
      <c r="I70" s="651"/>
      <c r="J70" s="651"/>
      <c r="K70" s="682"/>
      <c r="L70" s="651"/>
    </row>
    <row r="71" ht="18" customHeight="1" spans="1:12">
      <c r="A71" s="647"/>
      <c r="B71" s="650"/>
      <c r="C71" s="651"/>
      <c r="D71" s="651"/>
      <c r="E71" s="651"/>
      <c r="F71" s="651"/>
      <c r="G71" s="651"/>
      <c r="H71" s="651"/>
      <c r="I71" s="651"/>
      <c r="J71" s="651"/>
      <c r="K71" s="682"/>
      <c r="L71" s="651"/>
    </row>
    <row r="72" ht="18" customHeight="1" spans="1:12">
      <c r="A72" s="647"/>
      <c r="B72" s="650"/>
      <c r="C72" s="651"/>
      <c r="D72" s="651"/>
      <c r="E72" s="651"/>
      <c r="F72" s="651"/>
      <c r="G72" s="651"/>
      <c r="H72" s="651"/>
      <c r="I72" s="651"/>
      <c r="J72" s="651"/>
      <c r="K72" s="682"/>
      <c r="L72" s="651"/>
    </row>
    <row r="73" ht="18" customHeight="1" spans="1:12">
      <c r="A73" s="647"/>
      <c r="B73" s="650"/>
      <c r="C73" s="651"/>
      <c r="D73" s="651"/>
      <c r="E73" s="651"/>
      <c r="F73" s="651"/>
      <c r="G73" s="651"/>
      <c r="H73" s="651"/>
      <c r="I73" s="651"/>
      <c r="J73" s="651"/>
      <c r="K73" s="682"/>
      <c r="L73" s="651"/>
    </row>
    <row r="74" ht="18" customHeight="1" spans="1:12">
      <c r="A74" s="647"/>
      <c r="B74" s="650"/>
      <c r="C74" s="651"/>
      <c r="D74" s="651"/>
      <c r="E74" s="651"/>
      <c r="F74" s="651"/>
      <c r="G74" s="651"/>
      <c r="H74" s="651"/>
      <c r="I74" s="651"/>
      <c r="J74" s="651"/>
      <c r="K74" s="682"/>
      <c r="L74" s="651"/>
    </row>
    <row r="75" ht="18" customHeight="1" spans="1:12">
      <c r="A75" s="647"/>
      <c r="B75" s="652"/>
      <c r="C75" s="653"/>
      <c r="D75" s="653"/>
      <c r="E75" s="653"/>
      <c r="F75" s="653"/>
      <c r="G75" s="653"/>
      <c r="H75" s="653"/>
      <c r="I75" s="653"/>
      <c r="J75" s="653"/>
      <c r="K75" s="683"/>
      <c r="L75" s="651"/>
    </row>
    <row r="76" ht="13.5" customHeight="1" spans="1:9">
      <c r="A76" s="647"/>
      <c r="B76" s="654" t="s">
        <v>2589</v>
      </c>
      <c r="C76" s="655"/>
      <c r="D76" s="655"/>
      <c r="E76" s="655"/>
      <c r="F76" s="655"/>
      <c r="G76" s="655"/>
      <c r="H76" s="656"/>
      <c r="I76" s="673"/>
    </row>
    <row r="77" ht="13.5" customHeight="1" spans="1:9">
      <c r="A77" s="647"/>
      <c r="B77" s="657"/>
      <c r="C77" s="658"/>
      <c r="D77" s="658"/>
      <c r="E77" s="658"/>
      <c r="F77" s="658"/>
      <c r="G77" s="658"/>
      <c r="H77" s="659"/>
      <c r="I77" s="673"/>
    </row>
    <row r="78" ht="13.5" customHeight="1" spans="1:9">
      <c r="A78" s="647"/>
      <c r="B78" s="660" t="s">
        <v>2590</v>
      </c>
      <c r="C78" s="661"/>
      <c r="D78" s="661"/>
      <c r="E78" s="661"/>
      <c r="F78" s="662" t="s">
        <v>2085</v>
      </c>
      <c r="G78" s="662" t="s">
        <v>2591</v>
      </c>
      <c r="H78" s="663" t="s">
        <v>2592</v>
      </c>
      <c r="I78" s="673"/>
    </row>
    <row r="79" ht="13.5" customHeight="1" spans="1:9">
      <c r="A79" s="647"/>
      <c r="B79" s="664"/>
      <c r="C79" s="665"/>
      <c r="D79" s="665"/>
      <c r="E79" s="665"/>
      <c r="F79" s="662"/>
      <c r="G79" s="662"/>
      <c r="H79" s="663"/>
      <c r="I79" s="673"/>
    </row>
    <row r="80" ht="16.5" customHeight="1" spans="1:9">
      <c r="A80" s="647"/>
      <c r="B80" s="666" t="s">
        <v>1913</v>
      </c>
      <c r="C80" s="667"/>
      <c r="D80" s="667"/>
      <c r="E80" s="667"/>
      <c r="F80" s="662">
        <v>3806</v>
      </c>
      <c r="G80" s="662" t="s">
        <v>2593</v>
      </c>
      <c r="H80" s="668">
        <v>1</v>
      </c>
      <c r="I80" s="684"/>
    </row>
    <row r="81" ht="16.5" customHeight="1" spans="1:9">
      <c r="A81" s="647"/>
      <c r="B81" s="666" t="s">
        <v>2594</v>
      </c>
      <c r="C81" s="667"/>
      <c r="D81" s="667"/>
      <c r="E81" s="667"/>
      <c r="F81" s="662">
        <v>3806</v>
      </c>
      <c r="G81" s="662" t="s">
        <v>2593</v>
      </c>
      <c r="H81" s="668">
        <v>1</v>
      </c>
      <c r="I81" s="684"/>
    </row>
    <row r="82" ht="16.5" customHeight="1" spans="1:9">
      <c r="A82" s="647"/>
      <c r="B82" s="666" t="s">
        <v>2595</v>
      </c>
      <c r="C82" s="667"/>
      <c r="D82" s="667"/>
      <c r="E82" s="667"/>
      <c r="F82" s="662">
        <v>3806</v>
      </c>
      <c r="G82" s="662" t="s">
        <v>2593</v>
      </c>
      <c r="H82" s="668">
        <v>1.1</v>
      </c>
      <c r="I82" s="684"/>
    </row>
    <row r="83" ht="16.5" customHeight="1" spans="1:9">
      <c r="A83" s="647"/>
      <c r="B83" s="666" t="s">
        <v>2596</v>
      </c>
      <c r="C83" s="667"/>
      <c r="D83" s="667"/>
      <c r="E83" s="667"/>
      <c r="F83" s="662">
        <v>3806</v>
      </c>
      <c r="G83" s="662" t="s">
        <v>2593</v>
      </c>
      <c r="H83" s="668">
        <v>1</v>
      </c>
      <c r="I83" s="684"/>
    </row>
    <row r="84" ht="16.5" customHeight="1" spans="1:9">
      <c r="A84" s="647"/>
      <c r="B84" s="666" t="s">
        <v>2544</v>
      </c>
      <c r="C84" s="667"/>
      <c r="D84" s="667"/>
      <c r="E84" s="667"/>
      <c r="F84" s="662">
        <v>3806</v>
      </c>
      <c r="G84" s="662" t="s">
        <v>2593</v>
      </c>
      <c r="H84" s="668">
        <v>0.95</v>
      </c>
      <c r="I84" s="684"/>
    </row>
    <row r="85" ht="16.5" customHeight="1" spans="1:9">
      <c r="A85" s="647"/>
      <c r="B85" s="666" t="s">
        <v>2597</v>
      </c>
      <c r="C85" s="667"/>
      <c r="D85" s="667"/>
      <c r="E85" s="667"/>
      <c r="F85" s="662">
        <v>3806</v>
      </c>
      <c r="G85" s="662" t="s">
        <v>2593</v>
      </c>
      <c r="H85" s="668">
        <v>0.9</v>
      </c>
      <c r="I85" s="685"/>
    </row>
    <row r="86" ht="16.5" customHeight="1" spans="1:9">
      <c r="A86" s="647"/>
      <c r="B86" s="666" t="s">
        <v>2341</v>
      </c>
      <c r="C86" s="667"/>
      <c r="D86" s="667"/>
      <c r="E86" s="667"/>
      <c r="F86" s="662">
        <v>3006</v>
      </c>
      <c r="G86" s="662" t="s">
        <v>2598</v>
      </c>
      <c r="H86" s="668">
        <v>4</v>
      </c>
      <c r="I86" s="686"/>
    </row>
    <row r="87" ht="16.5" customHeight="1" spans="1:9">
      <c r="A87" s="647"/>
      <c r="B87" s="666" t="s">
        <v>1913</v>
      </c>
      <c r="C87" s="667"/>
      <c r="D87" s="667"/>
      <c r="E87" s="667"/>
      <c r="F87" s="662">
        <v>3006</v>
      </c>
      <c r="G87" s="662" t="s">
        <v>2599</v>
      </c>
      <c r="H87" s="668">
        <v>1.2</v>
      </c>
      <c r="I87" s="686"/>
    </row>
    <row r="88" ht="17.25" customHeight="1" spans="1:9">
      <c r="A88" s="647"/>
      <c r="B88" s="669" t="s">
        <v>2544</v>
      </c>
      <c r="C88" s="670"/>
      <c r="D88" s="670"/>
      <c r="E88" s="670"/>
      <c r="F88" s="671">
        <v>3006</v>
      </c>
      <c r="G88" s="671" t="s">
        <v>2599</v>
      </c>
      <c r="H88" s="672">
        <v>1.2</v>
      </c>
      <c r="I88" s="686"/>
    </row>
    <row r="89" ht="14.25" customHeight="1" spans="1:12">
      <c r="A89" s="647"/>
      <c r="B89" s="673"/>
      <c r="C89" s="673"/>
      <c r="D89" s="673"/>
      <c r="E89" s="673"/>
      <c r="F89" s="673"/>
      <c r="G89" s="673"/>
      <c r="H89" s="673"/>
      <c r="I89" s="673"/>
      <c r="J89" s="673"/>
      <c r="K89" s="673"/>
      <c r="L89" s="673"/>
    </row>
    <row r="90" ht="13.5" customHeight="1" spans="1:12">
      <c r="A90" s="647"/>
      <c r="B90" s="654" t="s">
        <v>2600</v>
      </c>
      <c r="C90" s="655"/>
      <c r="D90" s="655"/>
      <c r="E90" s="655"/>
      <c r="F90" s="655"/>
      <c r="G90" s="655"/>
      <c r="H90" s="655"/>
      <c r="I90" s="655"/>
      <c r="J90" s="655"/>
      <c r="K90" s="655"/>
      <c r="L90" s="687"/>
    </row>
    <row r="91" ht="13.5" customHeight="1" spans="1:12">
      <c r="A91" s="647"/>
      <c r="B91" s="657"/>
      <c r="C91" s="658"/>
      <c r="D91" s="658"/>
      <c r="E91" s="658"/>
      <c r="F91" s="658"/>
      <c r="G91" s="658"/>
      <c r="H91" s="658"/>
      <c r="I91" s="658"/>
      <c r="J91" s="658"/>
      <c r="K91" s="658"/>
      <c r="L91" s="687"/>
    </row>
    <row r="92" ht="15" spans="1:12">
      <c r="A92" s="647"/>
      <c r="B92" s="674" t="s">
        <v>2601</v>
      </c>
      <c r="C92" s="675"/>
      <c r="D92" s="675"/>
      <c r="E92" s="675"/>
      <c r="F92" s="676" t="s">
        <v>2085</v>
      </c>
      <c r="G92" s="676" t="s">
        <v>2602</v>
      </c>
      <c r="H92" s="676" t="s">
        <v>2603</v>
      </c>
      <c r="I92" s="676" t="s">
        <v>2604</v>
      </c>
      <c r="J92" s="688" t="s">
        <v>2605</v>
      </c>
      <c r="K92" s="676" t="s">
        <v>2606</v>
      </c>
      <c r="L92" s="689"/>
    </row>
    <row r="93" ht="17.25" customHeight="1" spans="1:12">
      <c r="A93" s="647"/>
      <c r="B93" s="674" t="s">
        <v>2595</v>
      </c>
      <c r="C93" s="675"/>
      <c r="D93" s="675"/>
      <c r="E93" s="675"/>
      <c r="F93" s="676" t="s">
        <v>2607</v>
      </c>
      <c r="G93" s="676" t="s">
        <v>2608</v>
      </c>
      <c r="H93" s="676">
        <v>7.01</v>
      </c>
      <c r="I93" s="676">
        <v>7.26</v>
      </c>
      <c r="J93" s="690">
        <v>9.3118</v>
      </c>
      <c r="K93" s="691">
        <f>J93/H93</f>
        <v>1.32835948644793</v>
      </c>
      <c r="L93" s="692"/>
    </row>
    <row r="94" ht="17.25" customHeight="1" spans="1:12">
      <c r="A94" s="647"/>
      <c r="B94" s="674" t="s">
        <v>2398</v>
      </c>
      <c r="C94" s="675"/>
      <c r="D94" s="675"/>
      <c r="E94" s="675"/>
      <c r="F94" s="677">
        <v>3806</v>
      </c>
      <c r="G94" s="676" t="s">
        <v>2608</v>
      </c>
      <c r="H94" s="676">
        <v>8.5</v>
      </c>
      <c r="I94" s="676">
        <v>9.5</v>
      </c>
      <c r="J94" s="690">
        <v>9.645</v>
      </c>
      <c r="K94" s="691">
        <f t="shared" ref="K94:K99" si="0">J94/H94</f>
        <v>1.13470588235294</v>
      </c>
      <c r="L94" s="692"/>
    </row>
    <row r="95" ht="17.25" customHeight="1" spans="1:12">
      <c r="A95" s="647"/>
      <c r="B95" s="674" t="s">
        <v>2596</v>
      </c>
      <c r="C95" s="675"/>
      <c r="D95" s="675"/>
      <c r="E95" s="675"/>
      <c r="F95" s="676">
        <v>3806</v>
      </c>
      <c r="G95" s="676" t="s">
        <v>2608</v>
      </c>
      <c r="H95" s="677">
        <v>8.6</v>
      </c>
      <c r="I95" s="677">
        <v>8.74</v>
      </c>
      <c r="J95" s="690">
        <v>9.6178</v>
      </c>
      <c r="K95" s="691">
        <f t="shared" si="0"/>
        <v>1.1183488372093</v>
      </c>
      <c r="L95" s="692"/>
    </row>
    <row r="96" ht="17.25" customHeight="1" spans="2:12">
      <c r="B96" s="674" t="s">
        <v>2597</v>
      </c>
      <c r="C96" s="675"/>
      <c r="D96" s="675"/>
      <c r="E96" s="675"/>
      <c r="F96" s="676">
        <v>3806</v>
      </c>
      <c r="G96" s="676" t="s">
        <v>2609</v>
      </c>
      <c r="H96" s="676">
        <v>8.5</v>
      </c>
      <c r="I96" s="676">
        <v>8.75</v>
      </c>
      <c r="J96" s="690">
        <v>9.154</v>
      </c>
      <c r="K96" s="691">
        <f t="shared" si="0"/>
        <v>1.07694117647059</v>
      </c>
      <c r="L96" s="692"/>
    </row>
    <row r="97" ht="17.25" customHeight="1" spans="2:12">
      <c r="B97" s="674" t="s">
        <v>1913</v>
      </c>
      <c r="C97" s="675"/>
      <c r="D97" s="675"/>
      <c r="E97" s="675"/>
      <c r="F97" s="676" t="s">
        <v>2610</v>
      </c>
      <c r="G97" s="676" t="s">
        <v>2609</v>
      </c>
      <c r="H97" s="676">
        <v>8.5</v>
      </c>
      <c r="I97" s="676">
        <v>8.625</v>
      </c>
      <c r="J97" s="690">
        <v>9.082</v>
      </c>
      <c r="K97" s="691">
        <f t="shared" si="0"/>
        <v>1.06847058823529</v>
      </c>
      <c r="L97" s="692"/>
    </row>
    <row r="98" ht="17.25" customHeight="1" spans="2:12">
      <c r="B98" s="674" t="s">
        <v>2611</v>
      </c>
      <c r="C98" s="675"/>
      <c r="D98" s="675"/>
      <c r="E98" s="675"/>
      <c r="F98" s="676">
        <v>3806</v>
      </c>
      <c r="G98" s="676" t="s">
        <v>2609</v>
      </c>
      <c r="H98" s="677">
        <v>8.7</v>
      </c>
      <c r="I98" s="677">
        <v>9</v>
      </c>
      <c r="J98" s="690">
        <v>9.4134</v>
      </c>
      <c r="K98" s="691">
        <f t="shared" si="0"/>
        <v>1.082</v>
      </c>
      <c r="L98" s="692"/>
    </row>
    <row r="99" ht="18" customHeight="1" spans="2:12">
      <c r="B99" s="678" t="s">
        <v>2611</v>
      </c>
      <c r="C99" s="679"/>
      <c r="D99" s="679"/>
      <c r="E99" s="679"/>
      <c r="F99" s="680">
        <v>3006</v>
      </c>
      <c r="G99" s="680" t="s">
        <v>2609</v>
      </c>
      <c r="H99" s="680">
        <v>7.75</v>
      </c>
      <c r="I99" s="680">
        <v>8</v>
      </c>
      <c r="J99" s="693">
        <v>8.1944</v>
      </c>
      <c r="K99" s="694">
        <f t="shared" si="0"/>
        <v>1.05734193548387</v>
      </c>
      <c r="L99" s="692"/>
    </row>
  </sheetData>
  <mergeCells count="88">
    <mergeCell ref="F1:H1"/>
    <mergeCell ref="I1:J1"/>
    <mergeCell ref="M1:N1"/>
    <mergeCell ref="P1:Q1"/>
    <mergeCell ref="S1:T1"/>
    <mergeCell ref="U1:Y1"/>
    <mergeCell ref="AA1:AB1"/>
    <mergeCell ref="A1:A2"/>
    <mergeCell ref="A3:A12"/>
    <mergeCell ref="A13:A22"/>
    <mergeCell ref="A23:A32"/>
    <mergeCell ref="A33:A48"/>
    <mergeCell ref="A49:A57"/>
    <mergeCell ref="A58:A65"/>
    <mergeCell ref="A68:A95"/>
    <mergeCell ref="B1:B2"/>
    <mergeCell ref="B78:B79"/>
    <mergeCell ref="C1:C2"/>
    <mergeCell ref="D1:D2"/>
    <mergeCell ref="D3:D12"/>
    <mergeCell ref="D13:D22"/>
    <mergeCell ref="D23:D32"/>
    <mergeCell ref="D33:D48"/>
    <mergeCell ref="D49:D57"/>
    <mergeCell ref="D58:D65"/>
    <mergeCell ref="E1:E2"/>
    <mergeCell ref="E3:E12"/>
    <mergeCell ref="E13:E22"/>
    <mergeCell ref="E23:E32"/>
    <mergeCell ref="E33:E48"/>
    <mergeCell ref="E49:E57"/>
    <mergeCell ref="E58:E65"/>
    <mergeCell ref="F78:F79"/>
    <mergeCell ref="G78:G79"/>
    <mergeCell ref="H78:H79"/>
    <mergeCell ref="L1:L2"/>
    <mergeCell ref="M33:M34"/>
    <mergeCell ref="M35:M36"/>
    <mergeCell ref="N33:N34"/>
    <mergeCell ref="N35:N36"/>
    <mergeCell ref="O33:O34"/>
    <mergeCell ref="P33:P34"/>
    <mergeCell ref="P35:P36"/>
    <mergeCell ref="Q33:Q34"/>
    <mergeCell ref="Q35:Q36"/>
    <mergeCell ref="R33:R34"/>
    <mergeCell ref="R35:R36"/>
    <mergeCell ref="S33:S34"/>
    <mergeCell ref="S35:S36"/>
    <mergeCell ref="S52:S54"/>
    <mergeCell ref="T33:T34"/>
    <mergeCell ref="T35:T36"/>
    <mergeCell ref="U33:U34"/>
    <mergeCell ref="U35:U36"/>
    <mergeCell ref="W33:W34"/>
    <mergeCell ref="W35:W36"/>
    <mergeCell ref="X33:X34"/>
    <mergeCell ref="X35:X36"/>
    <mergeCell ref="Y33:Y34"/>
    <mergeCell ref="Z1:Z2"/>
    <mergeCell ref="Z33:Z34"/>
    <mergeCell ref="Z35:Z36"/>
    <mergeCell ref="AA33:AA34"/>
    <mergeCell ref="AB33:AB34"/>
    <mergeCell ref="AC1:AC2"/>
    <mergeCell ref="AC3:AC9"/>
    <mergeCell ref="AC13:AC19"/>
    <mergeCell ref="AC23:AC31"/>
    <mergeCell ref="AC33:AC48"/>
    <mergeCell ref="AC49:AC56"/>
    <mergeCell ref="AC58:AC64"/>
    <mergeCell ref="AD1:AD2"/>
    <mergeCell ref="AD3:AD9"/>
    <mergeCell ref="AD13:AD19"/>
    <mergeCell ref="AD23:AD31"/>
    <mergeCell ref="AD33:AD48"/>
    <mergeCell ref="AD49:AD56"/>
    <mergeCell ref="AD58:AD63"/>
    <mergeCell ref="AE1:AE2"/>
    <mergeCell ref="AE3:AE9"/>
    <mergeCell ref="AE13:AE17"/>
    <mergeCell ref="AE23:AE31"/>
    <mergeCell ref="AE37:AE48"/>
    <mergeCell ref="AE49:AE56"/>
    <mergeCell ref="AE58:AE63"/>
    <mergeCell ref="B90:K91"/>
    <mergeCell ref="B68:K75"/>
    <mergeCell ref="B76:H77"/>
  </mergeCells>
  <conditionalFormatting sqref="AA67:AB67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{2013974e-da49-4cf8-975e-8a5b5d6b545a}</x14:id>
        </ext>
      </extLst>
    </cfRule>
  </conditionalFormatting>
  <pageMargins left="0.7" right="0.7" top="0.75" bottom="0.75" header="0.3" footer="0.3"/>
  <headerFooter/>
  <drawing r:id="rId2"/>
  <legacyDrawing r:id="rId3"/>
  <oleObjects>
    <mc:AlternateContent xmlns:mc="http://schemas.openxmlformats.org/markup-compatibility/2006">
      <mc:Choice Requires="x14">
        <oleObject shapeId="26625" progId="工作表" r:id="rId4" dvAspect="DVASPECT_ICON">
          <objectPr defaultSize="0" r:id="rId5">
            <anchor moveWithCells="1">
              <from>
                <xdr:col>12</xdr:col>
                <xdr:colOff>0</xdr:colOff>
                <xdr:row>2</xdr:row>
                <xdr:rowOff>449580</xdr:rowOff>
              </from>
              <to>
                <xdr:col>12</xdr:col>
                <xdr:colOff>1226820</xdr:colOff>
                <xdr:row>7</xdr:row>
                <xdr:rowOff>60960</xdr:rowOff>
              </to>
            </anchor>
          </objectPr>
        </oleObject>
      </mc:Choice>
      <mc:Fallback>
        <oleObject shapeId="26625" progId="工作表" r:id="rId4" dvAspect="DVASPECT_ICON"/>
      </mc:Fallback>
    </mc:AlternateContent>
    <mc:AlternateContent xmlns:mc="http://schemas.openxmlformats.org/markup-compatibility/2006">
      <mc:Choice Requires="x14">
        <oleObject shapeId="26626" progId="工作表" r:id="rId6" dvAspect="DVASPECT_ICON">
          <objectPr defaultSize="0" r:id="rId7">
            <anchor moveWithCells="1">
              <from>
                <xdr:col>13</xdr:col>
                <xdr:colOff>121920</xdr:colOff>
                <xdr:row>2</xdr:row>
                <xdr:rowOff>335280</xdr:rowOff>
              </from>
              <to>
                <xdr:col>14</xdr:col>
                <xdr:colOff>0</xdr:colOff>
                <xdr:row>7</xdr:row>
                <xdr:rowOff>121920</xdr:rowOff>
              </to>
            </anchor>
          </objectPr>
        </oleObject>
      </mc:Choice>
      <mc:Fallback>
        <oleObject shapeId="26626" progId="工作表" r:id="rId6" dvAspect="DVASPECT_ICON"/>
      </mc:Fallback>
    </mc:AlternateContent>
    <mc:AlternateContent xmlns:mc="http://schemas.openxmlformats.org/markup-compatibility/2006">
      <mc:Choice Requires="x14">
        <oleObject shapeId="26627" progId="工作表" r:id="rId8" dvAspect="DVASPECT_ICON">
          <objectPr defaultSize="0" r:id="rId9">
            <anchor moveWithCells="1">
              <from>
                <xdr:col>13</xdr:col>
                <xdr:colOff>60960</xdr:colOff>
                <xdr:row>2</xdr:row>
                <xdr:rowOff>502920</xdr:rowOff>
              </from>
              <to>
                <xdr:col>14</xdr:col>
                <xdr:colOff>0</xdr:colOff>
                <xdr:row>8</xdr:row>
                <xdr:rowOff>7620</xdr:rowOff>
              </to>
            </anchor>
          </objectPr>
        </oleObject>
      </mc:Choice>
      <mc:Fallback>
        <oleObject shapeId="26627" progId="工作表" r:id="rId8" dvAspect="DVASPECT_ICON"/>
      </mc:Fallback>
    </mc:AlternateContent>
    <mc:AlternateContent xmlns:mc="http://schemas.openxmlformats.org/markup-compatibility/2006">
      <mc:Choice Requires="x14">
        <oleObject shapeId="26628" progId="工作表" r:id="rId10" dvAspect="DVASPECT_ICON">
          <objectPr defaultSize="0" r:id="rId11">
            <anchor moveWithCells="1">
              <from>
                <xdr:col>12</xdr:col>
                <xdr:colOff>0</xdr:colOff>
                <xdr:row>22</xdr:row>
                <xdr:rowOff>464820</xdr:rowOff>
              </from>
              <to>
                <xdr:col>12</xdr:col>
                <xdr:colOff>1104900</xdr:colOff>
                <xdr:row>27</xdr:row>
                <xdr:rowOff>83820</xdr:rowOff>
              </to>
            </anchor>
          </objectPr>
        </oleObject>
      </mc:Choice>
      <mc:Fallback>
        <oleObject shapeId="26628" progId="工作表" r:id="rId10" dvAspect="DVASPECT_ICON"/>
      </mc:Fallback>
    </mc:AlternateContent>
    <mc:AlternateContent xmlns:mc="http://schemas.openxmlformats.org/markup-compatibility/2006">
      <mc:Choice Requires="x14">
        <oleObject shapeId="26629" progId="工作表" r:id="rId12" dvAspect="DVASPECT_ICON">
          <objectPr defaultSize="0" r:id="rId11">
            <anchor moveWithCells="1">
              <from>
                <xdr:col>12</xdr:col>
                <xdr:colOff>0</xdr:colOff>
                <xdr:row>24</xdr:row>
                <xdr:rowOff>464820</xdr:rowOff>
              </from>
              <to>
                <xdr:col>12</xdr:col>
                <xdr:colOff>1104900</xdr:colOff>
                <xdr:row>29</xdr:row>
                <xdr:rowOff>83820</xdr:rowOff>
              </to>
            </anchor>
          </objectPr>
        </oleObject>
      </mc:Choice>
      <mc:Fallback>
        <oleObject shapeId="26629" progId="工作表" r:id="rId12" dvAspect="DVASPECT_ICON"/>
      </mc:Fallback>
    </mc:AlternateContent>
    <mc:AlternateContent xmlns:mc="http://schemas.openxmlformats.org/markup-compatibility/2006">
      <mc:Choice Requires="x14">
        <oleObject shapeId="26630" progId="工作表" r:id="rId13" dvAspect="DVASPECT_ICON">
          <objectPr defaultSize="0" r:id="rId14">
            <anchor moveWithCells="1">
              <from>
                <xdr:col>13</xdr:col>
                <xdr:colOff>121920</xdr:colOff>
                <xdr:row>24</xdr:row>
                <xdr:rowOff>342900</xdr:rowOff>
              </from>
              <to>
                <xdr:col>13</xdr:col>
                <xdr:colOff>1264920</xdr:colOff>
                <xdr:row>29</xdr:row>
                <xdr:rowOff>182880</xdr:rowOff>
              </to>
            </anchor>
          </objectPr>
        </oleObject>
      </mc:Choice>
      <mc:Fallback>
        <oleObject shapeId="26630" progId="工作表" r:id="rId13" dvAspect="DVASPECT_ICON"/>
      </mc:Fallback>
    </mc:AlternateContent>
    <mc:AlternateContent xmlns:mc="http://schemas.openxmlformats.org/markup-compatibility/2006">
      <mc:Choice Requires="x14">
        <oleObject shapeId="26631" progId="工作表" r:id="rId15" dvAspect="DVASPECT_ICON">
          <objectPr defaultSize="0" r:id="rId16">
            <anchor moveWithCells="1">
              <from>
                <xdr:col>13</xdr:col>
                <xdr:colOff>45720</xdr:colOff>
                <xdr:row>24</xdr:row>
                <xdr:rowOff>403860</xdr:rowOff>
              </from>
              <to>
                <xdr:col>13</xdr:col>
                <xdr:colOff>1303020</xdr:colOff>
                <xdr:row>30</xdr:row>
                <xdr:rowOff>137160</xdr:rowOff>
              </to>
            </anchor>
          </objectPr>
        </oleObject>
      </mc:Choice>
      <mc:Fallback>
        <oleObject shapeId="26631" progId="工作表" r:id="rId15" dvAspect="DVASPECT_ICON"/>
      </mc:Fallback>
    </mc:AlternateContent>
    <mc:AlternateContent xmlns:mc="http://schemas.openxmlformats.org/markup-compatibility/2006">
      <mc:Choice Requires="x14">
        <oleObject shapeId="26632" progId="工作表" r:id="rId17" dvAspect="DVASPECT_ICON">
          <objectPr defaultSize="0" r:id="rId18">
            <anchor moveWithCells="1">
              <from>
                <xdr:col>12</xdr:col>
                <xdr:colOff>0</xdr:colOff>
                <xdr:row>38</xdr:row>
                <xdr:rowOff>838200</xdr:rowOff>
              </from>
              <to>
                <xdr:col>12</xdr:col>
                <xdr:colOff>1104900</xdr:colOff>
                <xdr:row>43</xdr:row>
                <xdr:rowOff>121920</xdr:rowOff>
              </to>
            </anchor>
          </objectPr>
        </oleObject>
      </mc:Choice>
      <mc:Fallback>
        <oleObject shapeId="26632" progId="工作表" r:id="rId17" dvAspect="DVASPECT_ICON"/>
      </mc:Fallback>
    </mc:AlternateContent>
    <mc:AlternateContent xmlns:mc="http://schemas.openxmlformats.org/markup-compatibility/2006">
      <mc:Choice Requires="x14">
        <oleObject shapeId="26633" progId="工作表" r:id="rId19" dvAspect="DVASPECT_ICON">
          <objectPr defaultSize="0" r:id="rId20">
            <anchor moveWithCells="1">
              <from>
                <xdr:col>13</xdr:col>
                <xdr:colOff>83820</xdr:colOff>
                <xdr:row>38</xdr:row>
                <xdr:rowOff>822960</xdr:rowOff>
              </from>
              <to>
                <xdr:col>13</xdr:col>
                <xdr:colOff>1257300</xdr:colOff>
                <xdr:row>43</xdr:row>
                <xdr:rowOff>182880</xdr:rowOff>
              </to>
            </anchor>
          </objectPr>
        </oleObject>
      </mc:Choice>
      <mc:Fallback>
        <oleObject shapeId="26633" progId="工作表" r:id="rId19" dvAspect="DVASPECT_ICON"/>
      </mc:Fallback>
    </mc:AlternateContent>
    <mc:AlternateContent xmlns:mc="http://schemas.openxmlformats.org/markup-compatibility/2006">
      <mc:Choice Requires="x14">
        <oleObject shapeId="26634" progId="工作表" r:id="rId21" dvAspect="DVASPECT_ICON">
          <objectPr defaultSize="0" r:id="rId22">
            <anchor moveWithCells="1">
              <from>
                <xdr:col>13</xdr:col>
                <xdr:colOff>45720</xdr:colOff>
                <xdr:row>38</xdr:row>
                <xdr:rowOff>784860</xdr:rowOff>
              </from>
              <to>
                <xdr:col>13</xdr:col>
                <xdr:colOff>1303020</xdr:colOff>
                <xdr:row>44</xdr:row>
                <xdr:rowOff>38100</xdr:rowOff>
              </to>
            </anchor>
          </objectPr>
        </oleObject>
      </mc:Choice>
      <mc:Fallback>
        <oleObject shapeId="26634" progId="工作表" r:id="rId21" dvAspect="DVASPECT_ICON"/>
      </mc:Fallback>
    </mc:AlternateContent>
    <mc:AlternateContent xmlns:mc="http://schemas.openxmlformats.org/markup-compatibility/2006">
      <mc:Choice Requires="x14">
        <oleObject shapeId="26635" progId="工作表" r:id="rId23" dvAspect="DVASPECT_ICON">
          <objectPr defaultSize="0" r:id="rId24">
            <anchor moveWithCells="1">
              <from>
                <xdr:col>12</xdr:col>
                <xdr:colOff>0</xdr:colOff>
                <xdr:row>48</xdr:row>
                <xdr:rowOff>0</xdr:rowOff>
              </from>
              <to>
                <xdr:col>12</xdr:col>
                <xdr:colOff>1104900</xdr:colOff>
                <xdr:row>52</xdr:row>
                <xdr:rowOff>83820</xdr:rowOff>
              </to>
            </anchor>
          </objectPr>
        </oleObject>
      </mc:Choice>
      <mc:Fallback>
        <oleObject shapeId="26635" progId="工作表" r:id="rId23" dvAspect="DVASPECT_ICON"/>
      </mc:Fallback>
    </mc:AlternateContent>
    <mc:AlternateContent xmlns:mc="http://schemas.openxmlformats.org/markup-compatibility/2006">
      <mc:Choice Requires="x14">
        <oleObject shapeId="26636" progId="工作表" r:id="rId25" dvAspect="DVASPECT_ICON">
          <objectPr defaultSize="0" r:id="rId26">
            <anchor moveWithCells="1">
              <from>
                <xdr:col>13</xdr:col>
                <xdr:colOff>83820</xdr:colOff>
                <xdr:row>48</xdr:row>
                <xdr:rowOff>0</xdr:rowOff>
              </from>
              <to>
                <xdr:col>13</xdr:col>
                <xdr:colOff>1264920</xdr:colOff>
                <xdr:row>52</xdr:row>
                <xdr:rowOff>182880</xdr:rowOff>
              </to>
            </anchor>
          </objectPr>
        </oleObject>
      </mc:Choice>
      <mc:Fallback>
        <oleObject shapeId="26636" progId="工作表" r:id="rId25" dvAspect="DVASPECT_ICON"/>
      </mc:Fallback>
    </mc:AlternateContent>
    <mc:AlternateContent xmlns:mc="http://schemas.openxmlformats.org/markup-compatibility/2006">
      <mc:Choice Requires="x14">
        <oleObject shapeId="26637" progId="工作表" r:id="rId27" dvAspect="DVASPECT_ICON">
          <objectPr defaultSize="0" r:id="rId28">
            <anchor moveWithCells="1">
              <from>
                <xdr:col>13</xdr:col>
                <xdr:colOff>38100</xdr:colOff>
                <xdr:row>48</xdr:row>
                <xdr:rowOff>0</xdr:rowOff>
              </from>
              <to>
                <xdr:col>13</xdr:col>
                <xdr:colOff>1356360</xdr:colOff>
                <xdr:row>53</xdr:row>
                <xdr:rowOff>68580</xdr:rowOff>
              </to>
            </anchor>
          </objectPr>
        </oleObject>
      </mc:Choice>
      <mc:Fallback>
        <oleObject shapeId="26637" progId="工作表" r:id="rId27" dvAspect="DVASPECT_ICON"/>
      </mc:Fallback>
    </mc:AlternateContent>
    <mc:AlternateContent xmlns:mc="http://schemas.openxmlformats.org/markup-compatibility/2006">
      <mc:Choice Requires="x14">
        <oleObject shapeId="26638" progId="工作表" r:id="rId29" dvAspect="DVASPECT_ICON">
          <objectPr defaultSize="0" r:id="rId30">
            <anchor moveWithCells="1">
              <from>
                <xdr:col>12</xdr:col>
                <xdr:colOff>0</xdr:colOff>
                <xdr:row>48</xdr:row>
                <xdr:rowOff>1089660</xdr:rowOff>
              </from>
              <to>
                <xdr:col>12</xdr:col>
                <xdr:colOff>1104900</xdr:colOff>
                <xdr:row>53</xdr:row>
                <xdr:rowOff>106680</xdr:rowOff>
              </to>
            </anchor>
          </objectPr>
        </oleObject>
      </mc:Choice>
      <mc:Fallback>
        <oleObject shapeId="26638" progId="工作表" r:id="rId29" dvAspect="DVASPECT_ICON"/>
      </mc:Fallback>
    </mc:AlternateContent>
    <mc:AlternateContent xmlns:mc="http://schemas.openxmlformats.org/markup-compatibility/2006">
      <mc:Choice Requires="x14">
        <oleObject shapeId="26639" progId="工作表" r:id="rId31" dvAspect="DVASPECT_ICON">
          <objectPr defaultSize="0" r:id="rId32">
            <anchor moveWithCells="1">
              <from>
                <xdr:col>13</xdr:col>
                <xdr:colOff>106680</xdr:colOff>
                <xdr:row>48</xdr:row>
                <xdr:rowOff>1089660</xdr:rowOff>
              </from>
              <to>
                <xdr:col>13</xdr:col>
                <xdr:colOff>1257300</xdr:colOff>
                <xdr:row>53</xdr:row>
                <xdr:rowOff>198120</xdr:rowOff>
              </to>
            </anchor>
          </objectPr>
        </oleObject>
      </mc:Choice>
      <mc:Fallback>
        <oleObject shapeId="26639" progId="工作表" r:id="rId31" dvAspect="DVASPECT_ICON"/>
      </mc:Fallback>
    </mc:AlternateContent>
    <mc:AlternateContent xmlns:mc="http://schemas.openxmlformats.org/markup-compatibility/2006">
      <mc:Choice Requires="x14">
        <oleObject shapeId="26640" progId="工作表" r:id="rId33" dvAspect="DVASPECT_ICON">
          <objectPr defaultSize="0" r:id="rId34">
            <anchor moveWithCells="1">
              <from>
                <xdr:col>13</xdr:col>
                <xdr:colOff>68580</xdr:colOff>
                <xdr:row>48</xdr:row>
                <xdr:rowOff>990600</xdr:rowOff>
              </from>
              <to>
                <xdr:col>13</xdr:col>
                <xdr:colOff>1303020</xdr:colOff>
                <xdr:row>54</xdr:row>
                <xdr:rowOff>45720</xdr:rowOff>
              </to>
            </anchor>
          </objectPr>
        </oleObject>
      </mc:Choice>
      <mc:Fallback>
        <oleObject shapeId="26640" progId="工作表" r:id="rId33" dvAspect="DVASPECT_ICON"/>
      </mc:Fallback>
    </mc:AlternateContent>
    <mc:AlternateContent xmlns:mc="http://schemas.openxmlformats.org/markup-compatibility/2006">
      <mc:Choice Requires="x14">
        <oleObject shapeId="26641" progId="工作表" r:id="rId35" dvAspect="DVASPECT_ICON">
          <objectPr defaultSize="0" r:id="rId36">
            <anchor moveWithCells="1">
              <from>
                <xdr:col>12</xdr:col>
                <xdr:colOff>0</xdr:colOff>
                <xdr:row>58</xdr:row>
                <xdr:rowOff>876300</xdr:rowOff>
              </from>
              <to>
                <xdr:col>12</xdr:col>
                <xdr:colOff>1104900</xdr:colOff>
                <xdr:row>62</xdr:row>
                <xdr:rowOff>160020</xdr:rowOff>
              </to>
            </anchor>
          </objectPr>
        </oleObject>
      </mc:Choice>
      <mc:Fallback>
        <oleObject shapeId="26641" progId="工作表" r:id="rId35" dvAspect="DVASPECT_ICON"/>
      </mc:Fallback>
    </mc:AlternateContent>
    <mc:AlternateContent xmlns:mc="http://schemas.openxmlformats.org/markup-compatibility/2006">
      <mc:Choice Requires="x14">
        <oleObject shapeId="26642" progId="工作表" r:id="rId37" dvAspect="DVASPECT_ICON">
          <objectPr defaultSize="0" r:id="rId38">
            <anchor moveWithCells="1">
              <from>
                <xdr:col>13</xdr:col>
                <xdr:colOff>76200</xdr:colOff>
                <xdr:row>58</xdr:row>
                <xdr:rowOff>800100</xdr:rowOff>
              </from>
              <to>
                <xdr:col>13</xdr:col>
                <xdr:colOff>1303020</xdr:colOff>
                <xdr:row>63</xdr:row>
                <xdr:rowOff>60960</xdr:rowOff>
              </to>
            </anchor>
          </objectPr>
        </oleObject>
      </mc:Choice>
      <mc:Fallback>
        <oleObject shapeId="26642" progId="工作表" r:id="rId37" dvAspect="DVASPECT_ICON"/>
      </mc:Fallback>
    </mc:AlternateContent>
    <mc:AlternateContent xmlns:mc="http://schemas.openxmlformats.org/markup-compatibility/2006">
      <mc:Choice Requires="x14">
        <oleObject shapeId="26643" progId="工作表" r:id="rId39" dvAspect="DVASPECT_ICON">
          <objectPr defaultSize="0" r:id="rId40">
            <anchor moveWithCells="1">
              <from>
                <xdr:col>13</xdr:col>
                <xdr:colOff>38100</xdr:colOff>
                <xdr:row>58</xdr:row>
                <xdr:rowOff>769620</xdr:rowOff>
              </from>
              <to>
                <xdr:col>13</xdr:col>
                <xdr:colOff>1303020</xdr:colOff>
                <xdr:row>63</xdr:row>
                <xdr:rowOff>106680</xdr:rowOff>
              </to>
            </anchor>
          </objectPr>
        </oleObject>
      </mc:Choice>
      <mc:Fallback>
        <oleObject shapeId="26643" progId="工作表" r:id="rId39" dvAspect="DVASPECT_ICON"/>
      </mc:Fallback>
    </mc:AlternateContent>
    <mc:AlternateContent xmlns:mc="http://schemas.openxmlformats.org/markup-compatibility/2006">
      <mc:Choice Requires="x14">
        <oleObject shapeId="26644" progId="工作表" r:id="rId41" dvAspect="DVASPECT_ICON">
          <objectPr defaultSize="0" r:id="rId42">
            <anchor moveWithCells="1">
              <from>
                <xdr:col>14</xdr:col>
                <xdr:colOff>60960</xdr:colOff>
                <xdr:row>58</xdr:row>
                <xdr:rowOff>769620</xdr:rowOff>
              </from>
              <to>
                <xdr:col>14</xdr:col>
                <xdr:colOff>1356360</xdr:colOff>
                <xdr:row>63</xdr:row>
                <xdr:rowOff>83820</xdr:rowOff>
              </to>
            </anchor>
          </objectPr>
        </oleObject>
      </mc:Choice>
      <mc:Fallback>
        <oleObject shapeId="26644" progId="工作表" r:id="rId41" dvAspect="DVASPECT_ICON"/>
      </mc:Fallback>
    </mc:AlternateContent>
    <mc:AlternateContent xmlns:mc="http://schemas.openxmlformats.org/markup-compatibility/2006">
      <mc:Choice Requires="x14">
        <oleObject shapeId="26649" progId="工作表" r:id="rId43" dvAspect="DVASPECT_ICON">
          <objectPr defaultSize="0" r:id="rId5">
            <anchor moveWithCells="1">
              <from>
                <xdr:col>12</xdr:col>
                <xdr:colOff>0</xdr:colOff>
                <xdr:row>2</xdr:row>
                <xdr:rowOff>449580</xdr:rowOff>
              </from>
              <to>
                <xdr:col>12</xdr:col>
                <xdr:colOff>1318260</xdr:colOff>
                <xdr:row>7</xdr:row>
                <xdr:rowOff>60960</xdr:rowOff>
              </to>
            </anchor>
          </objectPr>
        </oleObject>
      </mc:Choice>
      <mc:Fallback>
        <oleObject shapeId="26649" progId="工作表" r:id="rId43" dvAspect="DVASPECT_ICON"/>
      </mc:Fallback>
    </mc:AlternateContent>
    <mc:AlternateContent xmlns:mc="http://schemas.openxmlformats.org/markup-compatibility/2006">
      <mc:Choice Requires="x14">
        <oleObject shapeId="26650" progId="工作表" r:id="rId44" dvAspect="DVASPECT_ICON">
          <objectPr defaultSize="0" r:id="rId7">
            <anchor moveWithCells="1">
              <from>
                <xdr:col>13</xdr:col>
                <xdr:colOff>121920</xdr:colOff>
                <xdr:row>2</xdr:row>
                <xdr:rowOff>335280</xdr:rowOff>
              </from>
              <to>
                <xdr:col>14</xdr:col>
                <xdr:colOff>0</xdr:colOff>
                <xdr:row>7</xdr:row>
                <xdr:rowOff>121920</xdr:rowOff>
              </to>
            </anchor>
          </objectPr>
        </oleObject>
      </mc:Choice>
      <mc:Fallback>
        <oleObject shapeId="26650" progId="工作表" r:id="rId44" dvAspect="DVASPECT_ICON"/>
      </mc:Fallback>
    </mc:AlternateContent>
    <mc:AlternateContent xmlns:mc="http://schemas.openxmlformats.org/markup-compatibility/2006">
      <mc:Choice Requires="x14">
        <oleObject shapeId="26651" progId="工作表" r:id="rId45" dvAspect="DVASPECT_ICON">
          <objectPr defaultSize="0" r:id="rId9">
            <anchor moveWithCells="1">
              <from>
                <xdr:col>13</xdr:col>
                <xdr:colOff>60960</xdr:colOff>
                <xdr:row>2</xdr:row>
                <xdr:rowOff>502920</xdr:rowOff>
              </from>
              <to>
                <xdr:col>14</xdr:col>
                <xdr:colOff>0</xdr:colOff>
                <xdr:row>8</xdr:row>
                <xdr:rowOff>7620</xdr:rowOff>
              </to>
            </anchor>
          </objectPr>
        </oleObject>
      </mc:Choice>
      <mc:Fallback>
        <oleObject shapeId="26651" progId="工作表" r:id="rId45" dvAspect="DVASPECT_ICON"/>
      </mc:Fallback>
    </mc:AlternateContent>
    <mc:AlternateContent xmlns:mc="http://schemas.openxmlformats.org/markup-compatibility/2006">
      <mc:Choice Requires="x14">
        <oleObject shapeId="26652" progId="工作表" r:id="rId46" dvAspect="DVASPECT_ICON">
          <objectPr defaultSize="0" r:id="rId5">
            <anchor moveWithCells="1">
              <from>
                <xdr:col>12</xdr:col>
                <xdr:colOff>0</xdr:colOff>
                <xdr:row>2</xdr:row>
                <xdr:rowOff>449580</xdr:rowOff>
              </from>
              <to>
                <xdr:col>12</xdr:col>
                <xdr:colOff>1226820</xdr:colOff>
                <xdr:row>7</xdr:row>
                <xdr:rowOff>60960</xdr:rowOff>
              </to>
            </anchor>
          </objectPr>
        </oleObject>
      </mc:Choice>
      <mc:Fallback>
        <oleObject shapeId="26652" progId="工作表" r:id="rId46" dvAspect="DVASPECT_ICON"/>
      </mc:Fallback>
    </mc:AlternateContent>
    <mc:AlternateContent xmlns:mc="http://schemas.openxmlformats.org/markup-compatibility/2006">
      <mc:Choice Requires="x14">
        <oleObject shapeId="26653" progId="工作表" r:id="rId47" dvAspect="DVASPECT_ICON">
          <objectPr defaultSize="0" r:id="rId7">
            <anchor moveWithCells="1">
              <from>
                <xdr:col>13</xdr:col>
                <xdr:colOff>121920</xdr:colOff>
                <xdr:row>2</xdr:row>
                <xdr:rowOff>335280</xdr:rowOff>
              </from>
              <to>
                <xdr:col>14</xdr:col>
                <xdr:colOff>0</xdr:colOff>
                <xdr:row>7</xdr:row>
                <xdr:rowOff>121920</xdr:rowOff>
              </to>
            </anchor>
          </objectPr>
        </oleObject>
      </mc:Choice>
      <mc:Fallback>
        <oleObject shapeId="26653" progId="工作表" r:id="rId47" dvAspect="DVASPECT_ICON"/>
      </mc:Fallback>
    </mc:AlternateContent>
    <mc:AlternateContent xmlns:mc="http://schemas.openxmlformats.org/markup-compatibility/2006">
      <mc:Choice Requires="x14">
        <oleObject shapeId="26654" progId="工作表" r:id="rId48" dvAspect="DVASPECT_ICON">
          <objectPr defaultSize="0" r:id="rId9">
            <anchor moveWithCells="1">
              <from>
                <xdr:col>13</xdr:col>
                <xdr:colOff>60960</xdr:colOff>
                <xdr:row>2</xdr:row>
                <xdr:rowOff>502920</xdr:rowOff>
              </from>
              <to>
                <xdr:col>14</xdr:col>
                <xdr:colOff>0</xdr:colOff>
                <xdr:row>8</xdr:row>
                <xdr:rowOff>7620</xdr:rowOff>
              </to>
            </anchor>
          </objectPr>
        </oleObject>
      </mc:Choice>
      <mc:Fallback>
        <oleObject shapeId="26654" progId="工作表" r:id="rId48" dvAspect="DVASPECT_ICON"/>
      </mc:Fallback>
    </mc:AlternateContent>
  </oleObjects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013974e-da49-4cf8-975e-8a5b5d6b545a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AA67:AB67</xm:sqref>
        </x14:conditionalFormatting>
      </x14:conditionalFormatting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0"/>
  <dimension ref="B1:J70"/>
  <sheetViews>
    <sheetView topLeftCell="A49" workbookViewId="0">
      <selection activeCell="A3" sqref="A2:O26"/>
    </sheetView>
  </sheetViews>
  <sheetFormatPr defaultColWidth="8.88888888888889" defaultRowHeight="14.4"/>
  <cols>
    <col min="1" max="1" width="3" style="347" customWidth="1"/>
    <col min="2" max="2" width="8.88888888888889" style="347"/>
    <col min="3" max="3" width="15.3333333333333" style="347" customWidth="1"/>
    <col min="4" max="4" width="8" style="347" customWidth="1"/>
    <col min="5" max="5" width="9.44444444444444" style="347" customWidth="1"/>
    <col min="6" max="6" width="8.44444444444444" style="347" customWidth="1"/>
    <col min="7" max="7" width="12.7777777777778" style="347" customWidth="1"/>
    <col min="8" max="8" width="13.7777777777778" style="347" customWidth="1"/>
    <col min="9" max="9" width="33.4444444444444" style="347" customWidth="1"/>
    <col min="10" max="10" width="54.8888888888889" style="347" customWidth="1"/>
    <col min="11" max="16384" width="8.88888888888889" style="347"/>
  </cols>
  <sheetData>
    <row r="1" ht="15" customHeight="1"/>
    <row r="2" ht="14.25" customHeight="1" spans="2:10">
      <c r="B2" s="438" t="s">
        <v>96</v>
      </c>
      <c r="C2" s="439" t="s">
        <v>78</v>
      </c>
      <c r="D2" s="439" t="s">
        <v>2612</v>
      </c>
      <c r="E2" s="439" t="s">
        <v>2613</v>
      </c>
      <c r="F2" s="439" t="s">
        <v>2614</v>
      </c>
      <c r="G2" s="439" t="s">
        <v>2615</v>
      </c>
      <c r="H2" s="439" t="s">
        <v>2616</v>
      </c>
      <c r="I2" s="439" t="s">
        <v>2617</v>
      </c>
      <c r="J2" s="502" t="s">
        <v>113</v>
      </c>
    </row>
    <row r="3" customHeight="1" spans="2:10">
      <c r="B3" s="443"/>
      <c r="C3" s="444"/>
      <c r="D3" s="444"/>
      <c r="E3" s="444"/>
      <c r="F3" s="444"/>
      <c r="G3" s="444"/>
      <c r="H3" s="444"/>
      <c r="I3" s="444"/>
      <c r="J3" s="503"/>
    </row>
    <row r="4" customHeight="1" spans="2:10">
      <c r="B4" s="484">
        <v>0.2</v>
      </c>
      <c r="C4" s="485" t="s">
        <v>2618</v>
      </c>
      <c r="D4" s="485">
        <v>7.93</v>
      </c>
      <c r="E4" s="485">
        <v>865</v>
      </c>
      <c r="F4" s="485">
        <v>606</v>
      </c>
      <c r="G4" s="485">
        <v>13.86</v>
      </c>
      <c r="H4" s="485" t="s">
        <v>2619</v>
      </c>
      <c r="I4" s="504" t="s">
        <v>2620</v>
      </c>
      <c r="J4" s="505" t="s">
        <v>2621</v>
      </c>
    </row>
    <row r="5" ht="13.5" customHeight="1" spans="2:10">
      <c r="B5" s="486"/>
      <c r="C5" s="485"/>
      <c r="D5" s="485"/>
      <c r="E5" s="485"/>
      <c r="F5" s="485"/>
      <c r="G5" s="485"/>
      <c r="H5" s="485"/>
      <c r="I5" s="504"/>
      <c r="J5" s="505"/>
    </row>
    <row r="6" ht="13.5" customHeight="1" spans="2:10">
      <c r="B6" s="486"/>
      <c r="C6" s="485" t="s">
        <v>2622</v>
      </c>
      <c r="D6" s="485">
        <v>7.93</v>
      </c>
      <c r="E6" s="485">
        <v>1050</v>
      </c>
      <c r="F6" s="485">
        <v>650</v>
      </c>
      <c r="G6" s="485">
        <v>13.86</v>
      </c>
      <c r="H6" s="485" t="s">
        <v>2623</v>
      </c>
      <c r="I6" s="504" t="s">
        <v>2624</v>
      </c>
      <c r="J6" s="506" t="s">
        <v>2625</v>
      </c>
    </row>
    <row r="7" ht="13.5" customHeight="1" spans="2:10">
      <c r="B7" s="486"/>
      <c r="C7" s="485"/>
      <c r="D7" s="485"/>
      <c r="E7" s="485"/>
      <c r="F7" s="485"/>
      <c r="G7" s="485"/>
      <c r="H7" s="485"/>
      <c r="I7" s="504"/>
      <c r="J7" s="506"/>
    </row>
    <row r="8" ht="13.5" customHeight="1" spans="2:10">
      <c r="B8" s="486"/>
      <c r="C8" s="485"/>
      <c r="D8" s="485"/>
      <c r="E8" s="485"/>
      <c r="F8" s="485"/>
      <c r="G8" s="485"/>
      <c r="H8" s="485"/>
      <c r="I8" s="504"/>
      <c r="J8" s="506"/>
    </row>
    <row r="9" ht="13.5" customHeight="1" spans="2:10">
      <c r="B9" s="486"/>
      <c r="C9" s="485" t="s">
        <v>2626</v>
      </c>
      <c r="D9" s="485">
        <v>7.75</v>
      </c>
      <c r="E9" s="485">
        <v>485</v>
      </c>
      <c r="F9" s="485">
        <v>340</v>
      </c>
      <c r="G9" s="485">
        <v>16.3</v>
      </c>
      <c r="H9" s="485" t="s">
        <v>2627</v>
      </c>
      <c r="I9" s="504" t="s">
        <v>2628</v>
      </c>
      <c r="J9" s="507" t="s">
        <v>2629</v>
      </c>
    </row>
    <row r="10" ht="13.5" customHeight="1" spans="2:10">
      <c r="B10" s="486"/>
      <c r="C10" s="485"/>
      <c r="D10" s="485"/>
      <c r="E10" s="485"/>
      <c r="F10" s="485"/>
      <c r="G10" s="485"/>
      <c r="H10" s="485"/>
      <c r="I10" s="504"/>
      <c r="J10" s="508"/>
    </row>
    <row r="11" ht="13.5" customHeight="1" spans="2:10">
      <c r="B11" s="486"/>
      <c r="C11" s="485"/>
      <c r="D11" s="485"/>
      <c r="E11" s="485"/>
      <c r="F11" s="485"/>
      <c r="G11" s="485"/>
      <c r="H11" s="485"/>
      <c r="I11" s="504"/>
      <c r="J11" s="509"/>
    </row>
    <row r="12" ht="13.5" customHeight="1" spans="2:10">
      <c r="B12" s="486"/>
      <c r="C12" s="485" t="s">
        <v>1107</v>
      </c>
      <c r="D12" s="485">
        <v>7.7</v>
      </c>
      <c r="E12" s="485">
        <v>399</v>
      </c>
      <c r="F12" s="485">
        <v>339</v>
      </c>
      <c r="G12" s="485">
        <v>16.3</v>
      </c>
      <c r="H12" s="485" t="s">
        <v>2630</v>
      </c>
      <c r="I12" s="504" t="s">
        <v>2628</v>
      </c>
      <c r="J12" s="505" t="s">
        <v>2631</v>
      </c>
    </row>
    <row r="13" ht="13.5" customHeight="1" spans="2:10">
      <c r="B13" s="486"/>
      <c r="C13" s="485"/>
      <c r="D13" s="485"/>
      <c r="E13" s="485"/>
      <c r="F13" s="485"/>
      <c r="G13" s="485"/>
      <c r="H13" s="485"/>
      <c r="I13" s="504"/>
      <c r="J13" s="505"/>
    </row>
    <row r="14" ht="13.5" customHeight="1" spans="2:10">
      <c r="B14" s="486"/>
      <c r="C14" s="485"/>
      <c r="D14" s="485"/>
      <c r="E14" s="485"/>
      <c r="F14" s="485"/>
      <c r="G14" s="485"/>
      <c r="H14" s="485"/>
      <c r="I14" s="504"/>
      <c r="J14" s="505"/>
    </row>
    <row r="15" ht="13.5" customHeight="1" spans="2:10">
      <c r="B15" s="486"/>
      <c r="C15" s="485" t="s">
        <v>2632</v>
      </c>
      <c r="D15" s="485">
        <v>2.7</v>
      </c>
      <c r="E15" s="485">
        <v>210</v>
      </c>
      <c r="F15" s="485">
        <v>140</v>
      </c>
      <c r="G15" s="485">
        <v>138</v>
      </c>
      <c r="H15" s="485" t="s">
        <v>2633</v>
      </c>
      <c r="I15" s="504" t="s">
        <v>2634</v>
      </c>
      <c r="J15" s="506" t="s">
        <v>2635</v>
      </c>
    </row>
    <row r="16" ht="13.5" customHeight="1" spans="2:10">
      <c r="B16" s="486"/>
      <c r="C16" s="485"/>
      <c r="D16" s="485"/>
      <c r="E16" s="485"/>
      <c r="F16" s="485"/>
      <c r="G16" s="485"/>
      <c r="H16" s="485"/>
      <c r="I16" s="504"/>
      <c r="J16" s="506"/>
    </row>
    <row r="17" ht="13.5" customHeight="1" spans="2:10">
      <c r="B17" s="486"/>
      <c r="C17" s="485"/>
      <c r="D17" s="485"/>
      <c r="E17" s="485"/>
      <c r="F17" s="485"/>
      <c r="G17" s="485"/>
      <c r="H17" s="485"/>
      <c r="I17" s="504"/>
      <c r="J17" s="506"/>
    </row>
    <row r="18" ht="13.5" customHeight="1" spans="2:10">
      <c r="B18" s="486"/>
      <c r="C18" s="485" t="s">
        <v>1698</v>
      </c>
      <c r="D18" s="485">
        <v>2.64</v>
      </c>
      <c r="E18" s="485" t="s">
        <v>2636</v>
      </c>
      <c r="F18" s="485">
        <v>148</v>
      </c>
      <c r="G18" s="485">
        <v>117</v>
      </c>
      <c r="H18" s="485" t="s">
        <v>2637</v>
      </c>
      <c r="I18" s="504" t="s">
        <v>2638</v>
      </c>
      <c r="J18" s="506" t="s">
        <v>2639</v>
      </c>
    </row>
    <row r="19" ht="13.5" customHeight="1" spans="2:10">
      <c r="B19" s="486"/>
      <c r="C19" s="485"/>
      <c r="D19" s="485"/>
      <c r="E19" s="485"/>
      <c r="F19" s="485"/>
      <c r="G19" s="485"/>
      <c r="H19" s="485"/>
      <c r="I19" s="504"/>
      <c r="J19" s="506"/>
    </row>
    <row r="20" ht="13.5" customHeight="1" spans="2:10">
      <c r="B20" s="486"/>
      <c r="C20" s="485"/>
      <c r="D20" s="485"/>
      <c r="E20" s="485"/>
      <c r="F20" s="485"/>
      <c r="G20" s="485"/>
      <c r="H20" s="485"/>
      <c r="I20" s="504"/>
      <c r="J20" s="506"/>
    </row>
    <row r="21" ht="13.5" customHeight="1" spans="2:10">
      <c r="B21" s="486"/>
      <c r="C21" s="487" t="s">
        <v>1119</v>
      </c>
      <c r="D21" s="487">
        <v>2.62</v>
      </c>
      <c r="E21" s="487">
        <v>380</v>
      </c>
      <c r="F21" s="487">
        <v>294</v>
      </c>
      <c r="G21" s="487">
        <v>125</v>
      </c>
      <c r="H21" s="487" t="s">
        <v>2640</v>
      </c>
      <c r="I21" s="510" t="s">
        <v>2641</v>
      </c>
      <c r="J21" s="506" t="s">
        <v>2642</v>
      </c>
    </row>
    <row r="22" ht="13.5" customHeight="1" spans="2:10">
      <c r="B22" s="486"/>
      <c r="C22" s="488"/>
      <c r="D22" s="488"/>
      <c r="E22" s="488"/>
      <c r="F22" s="488"/>
      <c r="G22" s="488"/>
      <c r="H22" s="488"/>
      <c r="I22" s="511"/>
      <c r="J22" s="506"/>
    </row>
    <row r="23" ht="13.5" customHeight="1" spans="2:10">
      <c r="B23" s="486"/>
      <c r="C23" s="488"/>
      <c r="D23" s="488"/>
      <c r="E23" s="488"/>
      <c r="F23" s="488"/>
      <c r="G23" s="488"/>
      <c r="H23" s="488"/>
      <c r="I23" s="511"/>
      <c r="J23" s="506"/>
    </row>
    <row r="24" ht="17.4" customHeight="1" spans="2:10">
      <c r="B24" s="486"/>
      <c r="C24" s="489" t="s">
        <v>1097</v>
      </c>
      <c r="D24" s="489">
        <v>2.64</v>
      </c>
      <c r="E24" s="489">
        <v>392</v>
      </c>
      <c r="F24" s="489">
        <v>292</v>
      </c>
      <c r="G24" s="489">
        <v>110</v>
      </c>
      <c r="H24" s="489" t="s">
        <v>2643</v>
      </c>
      <c r="I24" s="512" t="s">
        <v>2644</v>
      </c>
      <c r="J24" s="513" t="s">
        <v>2645</v>
      </c>
    </row>
    <row r="25" ht="13.5" customHeight="1" spans="2:10">
      <c r="B25" s="486"/>
      <c r="C25" s="490"/>
      <c r="D25" s="490"/>
      <c r="E25" s="490"/>
      <c r="F25" s="490"/>
      <c r="G25" s="490"/>
      <c r="H25" s="490"/>
      <c r="I25" s="514"/>
      <c r="J25" s="513"/>
    </row>
    <row r="26" ht="46.95" customHeight="1" spans="2:10">
      <c r="B26" s="491"/>
      <c r="C26" s="492"/>
      <c r="D26" s="492"/>
      <c r="E26" s="492"/>
      <c r="F26" s="492"/>
      <c r="G26" s="492"/>
      <c r="H26" s="492"/>
      <c r="I26" s="515"/>
      <c r="J26" s="513"/>
    </row>
    <row r="27" ht="15.6" customHeight="1" spans="2:10">
      <c r="B27" s="484">
        <v>0.25</v>
      </c>
      <c r="C27" s="485" t="s">
        <v>2646</v>
      </c>
      <c r="D27" s="485">
        <v>2.7</v>
      </c>
      <c r="E27" s="485">
        <v>220</v>
      </c>
      <c r="F27" s="485">
        <v>147</v>
      </c>
      <c r="G27" s="485">
        <v>138</v>
      </c>
      <c r="H27" s="485" t="s">
        <v>2633</v>
      </c>
      <c r="I27" s="504" t="s">
        <v>2634</v>
      </c>
      <c r="J27" s="506" t="s">
        <v>2625</v>
      </c>
    </row>
    <row r="28" ht="13.5" customHeight="1" spans="2:10">
      <c r="B28" s="486"/>
      <c r="C28" s="485"/>
      <c r="D28" s="485"/>
      <c r="E28" s="485"/>
      <c r="F28" s="485"/>
      <c r="G28" s="485"/>
      <c r="H28" s="485"/>
      <c r="I28" s="504"/>
      <c r="J28" s="506"/>
    </row>
    <row r="29" ht="15.6" customHeight="1" spans="2:10">
      <c r="B29" s="486"/>
      <c r="C29" s="485"/>
      <c r="D29" s="485"/>
      <c r="E29" s="485"/>
      <c r="F29" s="485"/>
      <c r="G29" s="485"/>
      <c r="H29" s="485"/>
      <c r="I29" s="504"/>
      <c r="J29" s="506"/>
    </row>
    <row r="30" ht="13.5" customHeight="1" spans="2:10">
      <c r="B30" s="486"/>
      <c r="C30" s="485" t="s">
        <v>1698</v>
      </c>
      <c r="D30" s="485">
        <v>2.64</v>
      </c>
      <c r="E30" s="485" t="s">
        <v>2636</v>
      </c>
      <c r="F30" s="485">
        <v>148</v>
      </c>
      <c r="G30" s="485">
        <v>117</v>
      </c>
      <c r="H30" s="485" t="s">
        <v>2647</v>
      </c>
      <c r="I30" s="504" t="s">
        <v>2638</v>
      </c>
      <c r="J30" s="506" t="s">
        <v>2648</v>
      </c>
    </row>
    <row r="31" ht="13.5" customHeight="1" spans="2:10">
      <c r="B31" s="486"/>
      <c r="C31" s="485"/>
      <c r="D31" s="485"/>
      <c r="E31" s="485"/>
      <c r="F31" s="485"/>
      <c r="G31" s="485"/>
      <c r="H31" s="485"/>
      <c r="I31" s="504"/>
      <c r="J31" s="506"/>
    </row>
    <row r="32" ht="13.5" customHeight="1" spans="2:10">
      <c r="B32" s="486"/>
      <c r="C32" s="485"/>
      <c r="D32" s="485"/>
      <c r="E32" s="485"/>
      <c r="F32" s="485"/>
      <c r="G32" s="485"/>
      <c r="H32" s="485"/>
      <c r="I32" s="504"/>
      <c r="J32" s="506"/>
    </row>
    <row r="33" ht="13.5" customHeight="1" spans="2:10">
      <c r="B33" s="486"/>
      <c r="C33" s="487" t="s">
        <v>2649</v>
      </c>
      <c r="D33" s="487">
        <v>2.68</v>
      </c>
      <c r="E33" s="487" t="s">
        <v>2650</v>
      </c>
      <c r="F33" s="487" t="s">
        <v>7</v>
      </c>
      <c r="G33" s="487">
        <v>108</v>
      </c>
      <c r="H33" s="487" t="s">
        <v>2651</v>
      </c>
      <c r="I33" s="510" t="s">
        <v>2638</v>
      </c>
      <c r="J33" s="507" t="s">
        <v>2652</v>
      </c>
    </row>
    <row r="34" ht="13.5" customHeight="1" spans="2:10">
      <c r="B34" s="486"/>
      <c r="C34" s="488"/>
      <c r="D34" s="488"/>
      <c r="E34" s="488"/>
      <c r="F34" s="488"/>
      <c r="G34" s="488"/>
      <c r="H34" s="488"/>
      <c r="I34" s="511"/>
      <c r="J34" s="508"/>
    </row>
    <row r="35" ht="13.5" customHeight="1" spans="2:10">
      <c r="B35" s="486"/>
      <c r="C35" s="493"/>
      <c r="D35" s="493"/>
      <c r="E35" s="493"/>
      <c r="F35" s="493"/>
      <c r="G35" s="493"/>
      <c r="H35" s="493"/>
      <c r="I35" s="516"/>
      <c r="J35" s="509"/>
    </row>
    <row r="36" ht="13.5" customHeight="1" spans="2:10">
      <c r="B36" s="486"/>
      <c r="C36" s="487" t="s">
        <v>1119</v>
      </c>
      <c r="D36" s="487">
        <v>2.62</v>
      </c>
      <c r="E36" s="487">
        <v>380</v>
      </c>
      <c r="F36" s="487">
        <v>294</v>
      </c>
      <c r="G36" s="487">
        <v>125</v>
      </c>
      <c r="H36" s="487" t="s">
        <v>2640</v>
      </c>
      <c r="I36" s="510" t="s">
        <v>2641</v>
      </c>
      <c r="J36" s="507" t="s">
        <v>2642</v>
      </c>
    </row>
    <row r="37" customHeight="1" spans="2:10">
      <c r="B37" s="486"/>
      <c r="C37" s="488"/>
      <c r="D37" s="488"/>
      <c r="E37" s="488"/>
      <c r="F37" s="488"/>
      <c r="G37" s="488"/>
      <c r="H37" s="488"/>
      <c r="I37" s="511"/>
      <c r="J37" s="508"/>
    </row>
    <row r="38" customHeight="1" spans="2:10">
      <c r="B38" s="491"/>
      <c r="C38" s="493"/>
      <c r="D38" s="493"/>
      <c r="E38" s="493"/>
      <c r="F38" s="493"/>
      <c r="G38" s="493"/>
      <c r="H38" s="493"/>
      <c r="I38" s="516"/>
      <c r="J38" s="509"/>
    </row>
    <row r="39" customHeight="1" spans="2:10">
      <c r="B39" s="484">
        <v>0.3</v>
      </c>
      <c r="C39" s="485" t="s">
        <v>2618</v>
      </c>
      <c r="D39" s="485">
        <v>7.93</v>
      </c>
      <c r="E39" s="485">
        <v>990</v>
      </c>
      <c r="F39" s="485">
        <v>693</v>
      </c>
      <c r="G39" s="485">
        <v>13.86</v>
      </c>
      <c r="H39" s="485" t="s">
        <v>2619</v>
      </c>
      <c r="I39" s="504" t="s">
        <v>2653</v>
      </c>
      <c r="J39" s="517"/>
    </row>
    <row r="40" customHeight="1" spans="2:10">
      <c r="B40" s="486"/>
      <c r="C40" s="485"/>
      <c r="D40" s="485"/>
      <c r="E40" s="485"/>
      <c r="F40" s="485"/>
      <c r="G40" s="485"/>
      <c r="H40" s="485"/>
      <c r="I40" s="504"/>
      <c r="J40" s="517"/>
    </row>
    <row r="41" ht="13.5" customHeight="1" spans="2:10">
      <c r="B41" s="486"/>
      <c r="C41" s="485" t="s">
        <v>2622</v>
      </c>
      <c r="D41" s="485">
        <v>7.93</v>
      </c>
      <c r="E41" s="485">
        <v>1100</v>
      </c>
      <c r="F41" s="485">
        <v>670</v>
      </c>
      <c r="G41" s="485">
        <v>13.86</v>
      </c>
      <c r="H41" s="485" t="s">
        <v>2623</v>
      </c>
      <c r="I41" s="504" t="s">
        <v>2624</v>
      </c>
      <c r="J41" s="506" t="s">
        <v>2625</v>
      </c>
    </row>
    <row r="42" ht="13.5" customHeight="1" spans="2:10">
      <c r="B42" s="486"/>
      <c r="C42" s="485"/>
      <c r="D42" s="485"/>
      <c r="E42" s="485"/>
      <c r="F42" s="485"/>
      <c r="G42" s="485"/>
      <c r="H42" s="485"/>
      <c r="I42" s="504"/>
      <c r="J42" s="506"/>
    </row>
    <row r="43" ht="15.6" customHeight="1" spans="2:10">
      <c r="B43" s="486"/>
      <c r="C43" s="485"/>
      <c r="D43" s="485"/>
      <c r="E43" s="485"/>
      <c r="F43" s="485"/>
      <c r="G43" s="485"/>
      <c r="H43" s="485"/>
      <c r="I43" s="504"/>
      <c r="J43" s="506"/>
    </row>
    <row r="44" ht="15.6" customHeight="1" spans="2:10">
      <c r="B44" s="486"/>
      <c r="C44" s="485" t="s">
        <v>2654</v>
      </c>
      <c r="D44" s="485">
        <v>7.75</v>
      </c>
      <c r="E44" s="485">
        <v>505</v>
      </c>
      <c r="F44" s="485">
        <v>350</v>
      </c>
      <c r="G44" s="485">
        <v>16.3</v>
      </c>
      <c r="H44" s="485" t="s">
        <v>2627</v>
      </c>
      <c r="I44" s="504" t="s">
        <v>2628</v>
      </c>
      <c r="J44" s="507" t="s">
        <v>2655</v>
      </c>
    </row>
    <row r="45" ht="15.6" customHeight="1" spans="2:10">
      <c r="B45" s="486"/>
      <c r="C45" s="485"/>
      <c r="D45" s="485"/>
      <c r="E45" s="485"/>
      <c r="F45" s="485"/>
      <c r="G45" s="485"/>
      <c r="H45" s="485"/>
      <c r="I45" s="504"/>
      <c r="J45" s="508"/>
    </row>
    <row r="46" ht="15.6" customHeight="1" spans="2:10">
      <c r="B46" s="486"/>
      <c r="C46" s="485"/>
      <c r="D46" s="485"/>
      <c r="E46" s="485"/>
      <c r="F46" s="485"/>
      <c r="G46" s="485"/>
      <c r="H46" s="485"/>
      <c r="I46" s="504"/>
      <c r="J46" s="509"/>
    </row>
    <row r="47" ht="15.6" customHeight="1" spans="2:10">
      <c r="B47" s="486"/>
      <c r="C47" s="485" t="s">
        <v>1672</v>
      </c>
      <c r="D47" s="485">
        <v>7.7</v>
      </c>
      <c r="E47" s="485">
        <v>406</v>
      </c>
      <c r="F47" s="485">
        <v>285</v>
      </c>
      <c r="G47" s="485">
        <v>16.3</v>
      </c>
      <c r="H47" s="485" t="s">
        <v>2630</v>
      </c>
      <c r="I47" s="504" t="s">
        <v>2628</v>
      </c>
      <c r="J47" s="517"/>
    </row>
    <row r="48" ht="15.6" customHeight="1" spans="2:10">
      <c r="B48" s="486"/>
      <c r="C48" s="485"/>
      <c r="D48" s="485"/>
      <c r="E48" s="485"/>
      <c r="F48" s="485"/>
      <c r="G48" s="485"/>
      <c r="H48" s="485"/>
      <c r="I48" s="504"/>
      <c r="J48" s="517"/>
    </row>
    <row r="49" ht="13.5" customHeight="1" spans="2:10">
      <c r="B49" s="486"/>
      <c r="C49" s="485"/>
      <c r="D49" s="485"/>
      <c r="E49" s="485"/>
      <c r="F49" s="485"/>
      <c r="G49" s="485"/>
      <c r="H49" s="485"/>
      <c r="I49" s="504"/>
      <c r="J49" s="517"/>
    </row>
    <row r="50" ht="13.5" customHeight="1" spans="2:10">
      <c r="B50" s="486"/>
      <c r="C50" s="485" t="s">
        <v>2656</v>
      </c>
      <c r="D50" s="485">
        <v>2.7</v>
      </c>
      <c r="E50" s="485">
        <v>218</v>
      </c>
      <c r="F50" s="485">
        <v>161</v>
      </c>
      <c r="G50" s="485">
        <v>138</v>
      </c>
      <c r="H50" s="485" t="s">
        <v>2657</v>
      </c>
      <c r="I50" s="504" t="s">
        <v>2658</v>
      </c>
      <c r="J50" s="517"/>
    </row>
    <row r="51" ht="13.5" customHeight="1" spans="2:10">
      <c r="B51" s="486"/>
      <c r="C51" s="485"/>
      <c r="D51" s="485"/>
      <c r="E51" s="485"/>
      <c r="F51" s="485"/>
      <c r="G51" s="485"/>
      <c r="H51" s="485"/>
      <c r="I51" s="504"/>
      <c r="J51" s="517"/>
    </row>
    <row r="52" ht="13.5" customHeight="1" spans="2:10">
      <c r="B52" s="486"/>
      <c r="C52" s="485"/>
      <c r="D52" s="485"/>
      <c r="E52" s="485"/>
      <c r="F52" s="485"/>
      <c r="G52" s="485"/>
      <c r="H52" s="485"/>
      <c r="I52" s="504"/>
      <c r="J52" s="517"/>
    </row>
    <row r="53" ht="13.5" customHeight="1" spans="2:10">
      <c r="B53" s="486"/>
      <c r="C53" s="485" t="s">
        <v>2632</v>
      </c>
      <c r="D53" s="485">
        <v>2.7</v>
      </c>
      <c r="E53" s="485">
        <v>230</v>
      </c>
      <c r="F53" s="485">
        <v>155</v>
      </c>
      <c r="G53" s="485">
        <v>138</v>
      </c>
      <c r="H53" s="485" t="s">
        <v>2633</v>
      </c>
      <c r="I53" s="504" t="s">
        <v>2634</v>
      </c>
      <c r="J53" s="517" t="s">
        <v>2625</v>
      </c>
    </row>
    <row r="54" ht="13.5" customHeight="1" spans="2:10">
      <c r="B54" s="486"/>
      <c r="C54" s="485"/>
      <c r="D54" s="485"/>
      <c r="E54" s="485"/>
      <c r="F54" s="485"/>
      <c r="G54" s="485"/>
      <c r="H54" s="485"/>
      <c r="I54" s="504"/>
      <c r="J54" s="517"/>
    </row>
    <row r="55" ht="14.25" customHeight="1" spans="2:10">
      <c r="B55" s="486"/>
      <c r="C55" s="485"/>
      <c r="D55" s="485"/>
      <c r="E55" s="485"/>
      <c r="F55" s="485"/>
      <c r="G55" s="485"/>
      <c r="H55" s="485"/>
      <c r="I55" s="504"/>
      <c r="J55" s="517"/>
    </row>
    <row r="56" ht="13.5" customHeight="1" spans="2:10">
      <c r="B56" s="486"/>
      <c r="C56" s="487" t="s">
        <v>1119</v>
      </c>
      <c r="D56" s="487">
        <v>2.62</v>
      </c>
      <c r="E56" s="487">
        <v>380</v>
      </c>
      <c r="F56" s="487">
        <v>294</v>
      </c>
      <c r="G56" s="487">
        <v>125</v>
      </c>
      <c r="H56" s="487" t="s">
        <v>2640</v>
      </c>
      <c r="I56" s="510" t="s">
        <v>2641</v>
      </c>
      <c r="J56" s="507" t="s">
        <v>2642</v>
      </c>
    </row>
    <row r="57" ht="13.5" customHeight="1" spans="2:10">
      <c r="B57" s="486"/>
      <c r="C57" s="488"/>
      <c r="D57" s="488"/>
      <c r="E57" s="488"/>
      <c r="F57" s="488"/>
      <c r="G57" s="488"/>
      <c r="H57" s="488"/>
      <c r="I57" s="511"/>
      <c r="J57" s="508"/>
    </row>
    <row r="58" ht="13.5" customHeight="1" spans="2:10">
      <c r="B58" s="494"/>
      <c r="C58" s="495"/>
      <c r="D58" s="495"/>
      <c r="E58" s="495"/>
      <c r="F58" s="495"/>
      <c r="G58" s="495"/>
      <c r="H58" s="495"/>
      <c r="I58" s="518"/>
      <c r="J58" s="519"/>
    </row>
    <row r="59" ht="13.5" customHeight="1" spans="2:10">
      <c r="B59" s="466"/>
      <c r="C59" s="465"/>
      <c r="D59" s="465"/>
      <c r="E59" s="465"/>
      <c r="F59" s="465"/>
      <c r="G59" s="465"/>
      <c r="H59" s="465"/>
      <c r="I59" s="465"/>
      <c r="J59" s="520"/>
    </row>
    <row r="60" ht="13.5" customHeight="1" spans="2:10">
      <c r="B60" s="466"/>
      <c r="C60" s="465"/>
      <c r="D60" s="465"/>
      <c r="E60" s="496" t="s">
        <v>2121</v>
      </c>
      <c r="F60" s="497" t="s">
        <v>2659</v>
      </c>
      <c r="G60" s="498"/>
      <c r="H60" s="498"/>
      <c r="I60" s="498"/>
      <c r="J60" s="520"/>
    </row>
    <row r="61" ht="13.5" customHeight="1" spans="2:10">
      <c r="B61" s="466"/>
      <c r="C61" s="465"/>
      <c r="D61" s="465"/>
      <c r="E61" s="496"/>
      <c r="F61" s="498"/>
      <c r="G61" s="498"/>
      <c r="H61" s="498"/>
      <c r="I61" s="498"/>
      <c r="J61" s="520"/>
    </row>
    <row r="62" spans="2:10">
      <c r="B62" s="466"/>
      <c r="C62" s="465"/>
      <c r="D62" s="465"/>
      <c r="E62" s="496"/>
      <c r="F62" s="498"/>
      <c r="G62" s="498"/>
      <c r="H62" s="498"/>
      <c r="I62" s="498"/>
      <c r="J62" s="520"/>
    </row>
    <row r="63" ht="15.15" spans="2:10">
      <c r="B63" s="466"/>
      <c r="C63" s="465"/>
      <c r="D63" s="465"/>
      <c r="E63" s="465"/>
      <c r="F63" s="465"/>
      <c r="G63" s="465"/>
      <c r="H63" s="465"/>
      <c r="I63" s="465"/>
      <c r="J63" s="520"/>
    </row>
    <row r="64" spans="2:10">
      <c r="B64" s="466"/>
      <c r="C64" s="465"/>
      <c r="D64" s="465"/>
      <c r="E64" s="499" t="s">
        <v>2660</v>
      </c>
      <c r="F64" s="500"/>
      <c r="G64" s="501"/>
      <c r="H64" s="465"/>
      <c r="I64" s="465"/>
      <c r="J64" s="520"/>
    </row>
    <row r="65" spans="2:10">
      <c r="B65" s="466"/>
      <c r="C65" s="465"/>
      <c r="D65" s="465"/>
      <c r="E65" s="521" t="s">
        <v>443</v>
      </c>
      <c r="F65" s="522" t="s">
        <v>2661</v>
      </c>
      <c r="G65" s="523" t="s">
        <v>2662</v>
      </c>
      <c r="H65" s="465"/>
      <c r="I65" s="465"/>
      <c r="J65" s="520"/>
    </row>
    <row r="66" spans="2:10">
      <c r="B66" s="466"/>
      <c r="C66" s="465"/>
      <c r="D66" s="465"/>
      <c r="E66" s="521" t="s">
        <v>2663</v>
      </c>
      <c r="F66" s="522" t="s">
        <v>2664</v>
      </c>
      <c r="G66" s="523">
        <v>18956075020</v>
      </c>
      <c r="H66" s="465"/>
      <c r="I66" s="465"/>
      <c r="J66" s="520"/>
    </row>
    <row r="67" spans="2:10">
      <c r="B67" s="466"/>
      <c r="C67" s="465"/>
      <c r="D67" s="465"/>
      <c r="E67" s="521" t="s">
        <v>2665</v>
      </c>
      <c r="F67" s="522" t="s">
        <v>2666</v>
      </c>
      <c r="G67" s="523">
        <v>18133649066</v>
      </c>
      <c r="H67" s="465"/>
      <c r="I67" s="465"/>
      <c r="J67" s="520"/>
    </row>
    <row r="68" spans="2:10">
      <c r="B68" s="466"/>
      <c r="C68" s="465"/>
      <c r="D68" s="465"/>
      <c r="E68" s="521" t="s">
        <v>2667</v>
      </c>
      <c r="F68" s="522" t="s">
        <v>2668</v>
      </c>
      <c r="G68" s="523">
        <v>18934591485</v>
      </c>
      <c r="H68" s="465"/>
      <c r="I68" s="465"/>
      <c r="J68" s="520"/>
    </row>
    <row r="69" ht="15.15" spans="2:10">
      <c r="B69" s="466"/>
      <c r="C69" s="465"/>
      <c r="D69" s="465"/>
      <c r="E69" s="524" t="s">
        <v>2669</v>
      </c>
      <c r="F69" s="525" t="s">
        <v>2670</v>
      </c>
      <c r="G69" s="526">
        <v>18901541669</v>
      </c>
      <c r="H69" s="465"/>
      <c r="I69" s="465"/>
      <c r="J69" s="520"/>
    </row>
    <row r="70" spans="2:10">
      <c r="B70" s="466"/>
      <c r="C70" s="465"/>
      <c r="D70" s="465"/>
      <c r="E70" s="465"/>
      <c r="F70" s="465"/>
      <c r="G70" s="465"/>
      <c r="H70" s="465"/>
      <c r="I70" s="465"/>
      <c r="J70" s="436" t="s">
        <v>2671</v>
      </c>
    </row>
  </sheetData>
  <mergeCells count="167">
    <mergeCell ref="E64:G64"/>
    <mergeCell ref="B2:B3"/>
    <mergeCell ref="B4:B26"/>
    <mergeCell ref="B27:B38"/>
    <mergeCell ref="B39:B58"/>
    <mergeCell ref="C2:C3"/>
    <mergeCell ref="C4:C5"/>
    <mergeCell ref="C6:C8"/>
    <mergeCell ref="C9:C11"/>
    <mergeCell ref="C12:C14"/>
    <mergeCell ref="C15:C17"/>
    <mergeCell ref="C18:C20"/>
    <mergeCell ref="C21:C23"/>
    <mergeCell ref="C24:C26"/>
    <mergeCell ref="C27:C29"/>
    <mergeCell ref="C30:C32"/>
    <mergeCell ref="C33:C35"/>
    <mergeCell ref="C36:C38"/>
    <mergeCell ref="C39:C40"/>
    <mergeCell ref="C41:C43"/>
    <mergeCell ref="C44:C46"/>
    <mergeCell ref="C47:C49"/>
    <mergeCell ref="C50:C52"/>
    <mergeCell ref="C53:C55"/>
    <mergeCell ref="C56:C58"/>
    <mergeCell ref="D2:D3"/>
    <mergeCell ref="D4:D5"/>
    <mergeCell ref="D6:D8"/>
    <mergeCell ref="D9:D11"/>
    <mergeCell ref="D12:D14"/>
    <mergeCell ref="D15:D17"/>
    <mergeCell ref="D18:D20"/>
    <mergeCell ref="D21:D23"/>
    <mergeCell ref="D24:D26"/>
    <mergeCell ref="D27:D29"/>
    <mergeCell ref="D30:D32"/>
    <mergeCell ref="D33:D35"/>
    <mergeCell ref="D36:D38"/>
    <mergeCell ref="D39:D40"/>
    <mergeCell ref="D41:D43"/>
    <mergeCell ref="D44:D46"/>
    <mergeCell ref="D47:D49"/>
    <mergeCell ref="D50:D52"/>
    <mergeCell ref="D53:D55"/>
    <mergeCell ref="D56:D58"/>
    <mergeCell ref="E2:E3"/>
    <mergeCell ref="E4:E5"/>
    <mergeCell ref="E6:E8"/>
    <mergeCell ref="E9:E11"/>
    <mergeCell ref="E12:E14"/>
    <mergeCell ref="E15:E17"/>
    <mergeCell ref="E18:E20"/>
    <mergeCell ref="E21:E23"/>
    <mergeCell ref="E24:E26"/>
    <mergeCell ref="E27:E29"/>
    <mergeCell ref="E30:E32"/>
    <mergeCell ref="E33:E35"/>
    <mergeCell ref="E36:E38"/>
    <mergeCell ref="E39:E40"/>
    <mergeCell ref="E41:E43"/>
    <mergeCell ref="E44:E46"/>
    <mergeCell ref="E47:E49"/>
    <mergeCell ref="E50:E52"/>
    <mergeCell ref="E53:E55"/>
    <mergeCell ref="E56:E58"/>
    <mergeCell ref="E60:E62"/>
    <mergeCell ref="F2:F3"/>
    <mergeCell ref="F4:F5"/>
    <mergeCell ref="F6:F8"/>
    <mergeCell ref="F9:F11"/>
    <mergeCell ref="F12:F14"/>
    <mergeCell ref="F15:F17"/>
    <mergeCell ref="F18:F20"/>
    <mergeCell ref="F21:F23"/>
    <mergeCell ref="F24:F26"/>
    <mergeCell ref="F27:F29"/>
    <mergeCell ref="F30:F32"/>
    <mergeCell ref="F33:F35"/>
    <mergeCell ref="F36:F38"/>
    <mergeCell ref="F39:F40"/>
    <mergeCell ref="F41:F43"/>
    <mergeCell ref="F44:F46"/>
    <mergeCell ref="F47:F49"/>
    <mergeCell ref="F50:F52"/>
    <mergeCell ref="F53:F55"/>
    <mergeCell ref="F56:F58"/>
    <mergeCell ref="G2:G3"/>
    <mergeCell ref="G4:G5"/>
    <mergeCell ref="G6:G8"/>
    <mergeCell ref="G9:G11"/>
    <mergeCell ref="G12:G14"/>
    <mergeCell ref="G15:G17"/>
    <mergeCell ref="G18:G20"/>
    <mergeCell ref="G21:G23"/>
    <mergeCell ref="G24:G26"/>
    <mergeCell ref="G27:G29"/>
    <mergeCell ref="G30:G32"/>
    <mergeCell ref="G33:G35"/>
    <mergeCell ref="G36:G38"/>
    <mergeCell ref="G39:G40"/>
    <mergeCell ref="G41:G43"/>
    <mergeCell ref="G44:G46"/>
    <mergeCell ref="G47:G49"/>
    <mergeCell ref="G50:G52"/>
    <mergeCell ref="G53:G55"/>
    <mergeCell ref="G56:G58"/>
    <mergeCell ref="H2:H3"/>
    <mergeCell ref="H4:H5"/>
    <mergeCell ref="H6:H8"/>
    <mergeCell ref="H9:H11"/>
    <mergeCell ref="H12:H14"/>
    <mergeCell ref="H15:H17"/>
    <mergeCell ref="H18:H20"/>
    <mergeCell ref="H21:H23"/>
    <mergeCell ref="H24:H26"/>
    <mergeCell ref="H27:H29"/>
    <mergeCell ref="H30:H32"/>
    <mergeCell ref="H33:H35"/>
    <mergeCell ref="H36:H38"/>
    <mergeCell ref="H39:H40"/>
    <mergeCell ref="H41:H43"/>
    <mergeCell ref="H44:H46"/>
    <mergeCell ref="H47:H49"/>
    <mergeCell ref="H50:H52"/>
    <mergeCell ref="H53:H55"/>
    <mergeCell ref="H56:H58"/>
    <mergeCell ref="I2:I3"/>
    <mergeCell ref="I4:I5"/>
    <mergeCell ref="I6:I8"/>
    <mergeCell ref="I9:I11"/>
    <mergeCell ref="I12:I14"/>
    <mergeCell ref="I15:I17"/>
    <mergeCell ref="I18:I20"/>
    <mergeCell ref="I21:I23"/>
    <mergeCell ref="I24:I26"/>
    <mergeCell ref="I27:I29"/>
    <mergeCell ref="I30:I32"/>
    <mergeCell ref="I33:I35"/>
    <mergeCell ref="I36:I38"/>
    <mergeCell ref="I39:I40"/>
    <mergeCell ref="I41:I43"/>
    <mergeCell ref="I44:I46"/>
    <mergeCell ref="I47:I49"/>
    <mergeCell ref="I50:I52"/>
    <mergeCell ref="I53:I55"/>
    <mergeCell ref="I56:I58"/>
    <mergeCell ref="J2:J3"/>
    <mergeCell ref="J4:J5"/>
    <mergeCell ref="J6:J8"/>
    <mergeCell ref="J9:J11"/>
    <mergeCell ref="J12:J14"/>
    <mergeCell ref="J15:J17"/>
    <mergeCell ref="J18:J20"/>
    <mergeCell ref="J21:J23"/>
    <mergeCell ref="J24:J26"/>
    <mergeCell ref="J27:J29"/>
    <mergeCell ref="J30:J32"/>
    <mergeCell ref="J33:J35"/>
    <mergeCell ref="J36:J38"/>
    <mergeCell ref="J39:J40"/>
    <mergeCell ref="J41:J43"/>
    <mergeCell ref="J44:J46"/>
    <mergeCell ref="J47:J49"/>
    <mergeCell ref="J50:J52"/>
    <mergeCell ref="J53:J55"/>
    <mergeCell ref="J56:J58"/>
    <mergeCell ref="F60:I62"/>
  </mergeCells>
  <pageMargins left="0.7" right="0.7" top="0.75" bottom="0.75" header="0.3" footer="0.3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2"/>
  <dimension ref="B1:O26"/>
  <sheetViews>
    <sheetView workbookViewId="0">
      <selection activeCell="A3" sqref="A2:O26"/>
    </sheetView>
  </sheetViews>
  <sheetFormatPr defaultColWidth="8.88888888888889" defaultRowHeight="14.4"/>
  <cols>
    <col min="1" max="1" width="3.88888888888889" style="347" customWidth="1"/>
    <col min="2" max="2" width="8.88888888888889" style="347"/>
    <col min="3" max="3" width="16.8888888888889" style="347" customWidth="1"/>
    <col min="4" max="4" width="9.44444444444444" style="347" customWidth="1"/>
    <col min="5" max="5" width="21" style="347" customWidth="1"/>
    <col min="6" max="6" width="36.4444444444444" style="347" customWidth="1"/>
    <col min="7" max="11" width="8.88888888888889" style="347"/>
    <col min="12" max="12" width="16.4444444444444" style="347" customWidth="1"/>
    <col min="13" max="16384" width="8.88888888888889" style="347"/>
  </cols>
  <sheetData>
    <row r="1" ht="15.15"/>
    <row r="2" ht="17.25" customHeight="1" spans="2:15">
      <c r="B2" s="438" t="s">
        <v>443</v>
      </c>
      <c r="C2" s="439" t="s">
        <v>91</v>
      </c>
      <c r="D2" s="440" t="s">
        <v>93</v>
      </c>
      <c r="E2" s="440" t="s">
        <v>2672</v>
      </c>
      <c r="F2" s="441" t="s">
        <v>2271</v>
      </c>
      <c r="G2" s="442" t="s">
        <v>2673</v>
      </c>
      <c r="H2" s="441" t="s">
        <v>2674</v>
      </c>
      <c r="I2" s="441" t="s">
        <v>2675</v>
      </c>
      <c r="J2" s="441" t="s">
        <v>2676</v>
      </c>
      <c r="K2" s="442" t="s">
        <v>2677</v>
      </c>
      <c r="L2" s="442" t="s">
        <v>2678</v>
      </c>
      <c r="M2" s="439" t="s">
        <v>2679</v>
      </c>
      <c r="N2" s="439" t="s">
        <v>2680</v>
      </c>
      <c r="O2" s="472" t="s">
        <v>113</v>
      </c>
    </row>
    <row r="3" ht="17.4" spans="2:15">
      <c r="B3" s="443"/>
      <c r="C3" s="444"/>
      <c r="D3" s="445"/>
      <c r="E3" s="445"/>
      <c r="F3" s="446"/>
      <c r="G3" s="447"/>
      <c r="H3" s="446"/>
      <c r="I3" s="446"/>
      <c r="J3" s="446" t="s">
        <v>2681</v>
      </c>
      <c r="K3" s="447"/>
      <c r="L3" s="447"/>
      <c r="M3" s="444"/>
      <c r="N3" s="444"/>
      <c r="O3" s="473"/>
    </row>
    <row r="4" ht="33" customHeight="1" spans="2:15">
      <c r="B4" s="448" t="s">
        <v>2682</v>
      </c>
      <c r="C4" s="449" t="s">
        <v>2683</v>
      </c>
      <c r="D4" s="449" t="s">
        <v>923</v>
      </c>
      <c r="E4" s="450" t="s">
        <v>7</v>
      </c>
      <c r="F4" s="451">
        <v>0.975</v>
      </c>
      <c r="G4" s="450" t="s">
        <v>7</v>
      </c>
      <c r="H4" s="452" t="s">
        <v>7</v>
      </c>
      <c r="I4" s="452" t="s">
        <v>7</v>
      </c>
      <c r="J4" s="452" t="s">
        <v>7</v>
      </c>
      <c r="K4" s="450" t="s">
        <v>7</v>
      </c>
      <c r="L4" s="450" t="s">
        <v>7</v>
      </c>
      <c r="M4" s="452" t="s">
        <v>7</v>
      </c>
      <c r="N4" s="456" t="s">
        <v>2684</v>
      </c>
      <c r="O4" s="474" t="s">
        <v>2685</v>
      </c>
    </row>
    <row r="5" ht="62.4" spans="2:15">
      <c r="B5" s="453" t="s">
        <v>2686</v>
      </c>
      <c r="C5" s="449" t="s">
        <v>2687</v>
      </c>
      <c r="D5" s="449" t="s">
        <v>923</v>
      </c>
      <c r="E5" s="450" t="s">
        <v>7</v>
      </c>
      <c r="F5" s="454">
        <v>0.83</v>
      </c>
      <c r="G5" s="450" t="s">
        <v>7</v>
      </c>
      <c r="H5" s="452" t="s">
        <v>7</v>
      </c>
      <c r="I5" s="452" t="s">
        <v>2688</v>
      </c>
      <c r="J5" s="452" t="s">
        <v>7</v>
      </c>
      <c r="K5" s="450">
        <v>230</v>
      </c>
      <c r="L5" s="450">
        <v>0.3</v>
      </c>
      <c r="M5" s="452" t="s">
        <v>7</v>
      </c>
      <c r="N5" s="475"/>
      <c r="O5" s="476" t="s">
        <v>2689</v>
      </c>
    </row>
    <row r="6" ht="62.4" spans="2:15">
      <c r="B6" s="455"/>
      <c r="C6" s="456" t="s">
        <v>2690</v>
      </c>
      <c r="D6" s="456" t="s">
        <v>931</v>
      </c>
      <c r="E6" s="450" t="s">
        <v>7</v>
      </c>
      <c r="F6" s="457">
        <v>0.05</v>
      </c>
      <c r="G6" s="450" t="s">
        <v>2691</v>
      </c>
      <c r="H6" s="452" t="s">
        <v>7</v>
      </c>
      <c r="I6" s="452" t="s">
        <v>2692</v>
      </c>
      <c r="J6" s="452" t="s">
        <v>7</v>
      </c>
      <c r="K6" s="450">
        <v>230</v>
      </c>
      <c r="L6" s="450">
        <v>0.3</v>
      </c>
      <c r="M6" s="452" t="s">
        <v>7</v>
      </c>
      <c r="N6" s="475"/>
      <c r="O6" s="477"/>
    </row>
    <row r="7" ht="16.5" customHeight="1" spans="2:15">
      <c r="B7" s="453" t="s">
        <v>2693</v>
      </c>
      <c r="C7" s="456" t="s">
        <v>2694</v>
      </c>
      <c r="D7" s="456" t="s">
        <v>923</v>
      </c>
      <c r="E7" s="450" t="s">
        <v>7</v>
      </c>
      <c r="F7" s="457">
        <v>0.92</v>
      </c>
      <c r="G7" s="450" t="s">
        <v>7</v>
      </c>
      <c r="H7" s="452" t="s">
        <v>7</v>
      </c>
      <c r="I7" s="452" t="s">
        <v>7</v>
      </c>
      <c r="J7" s="452" t="s">
        <v>7</v>
      </c>
      <c r="K7" s="450" t="s">
        <v>7</v>
      </c>
      <c r="L7" s="450" t="s">
        <v>7</v>
      </c>
      <c r="M7" s="452" t="s">
        <v>7</v>
      </c>
      <c r="N7" s="475"/>
      <c r="O7" s="478"/>
    </row>
    <row r="8" ht="52.2" spans="2:15">
      <c r="B8" s="458" t="s">
        <v>2695</v>
      </c>
      <c r="C8" s="459" t="s">
        <v>2696</v>
      </c>
      <c r="D8" s="449" t="s">
        <v>923</v>
      </c>
      <c r="E8" s="450" t="s">
        <v>7</v>
      </c>
      <c r="F8" s="454">
        <v>0.92</v>
      </c>
      <c r="G8" s="450" t="s">
        <v>2697</v>
      </c>
      <c r="H8" s="452">
        <v>25</v>
      </c>
      <c r="I8" s="452" t="s">
        <v>7</v>
      </c>
      <c r="J8" s="452" t="s">
        <v>7</v>
      </c>
      <c r="K8" s="450">
        <v>115</v>
      </c>
      <c r="L8" s="450" t="s">
        <v>7</v>
      </c>
      <c r="M8" s="452" t="s">
        <v>7</v>
      </c>
      <c r="N8" s="475"/>
      <c r="O8" s="478" t="s">
        <v>2698</v>
      </c>
    </row>
    <row r="9" ht="46.8" spans="2:15">
      <c r="B9" s="453" t="s">
        <v>2699</v>
      </c>
      <c r="C9" s="449" t="s">
        <v>2700</v>
      </c>
      <c r="D9" s="449" t="s">
        <v>931</v>
      </c>
      <c r="E9" s="449" t="s">
        <v>7</v>
      </c>
      <c r="F9" s="451">
        <v>0.06</v>
      </c>
      <c r="G9" s="451" t="s">
        <v>2701</v>
      </c>
      <c r="H9" s="449">
        <v>18</v>
      </c>
      <c r="I9" s="449" t="s">
        <v>2702</v>
      </c>
      <c r="J9" s="449">
        <v>0.2</v>
      </c>
      <c r="K9" s="449">
        <v>117</v>
      </c>
      <c r="L9" s="449" t="s">
        <v>2703</v>
      </c>
      <c r="M9" s="449" t="s">
        <v>2704</v>
      </c>
      <c r="N9" s="475"/>
      <c r="O9" s="479" t="s">
        <v>2705</v>
      </c>
    </row>
    <row r="10" ht="46.8" spans="2:15">
      <c r="B10" s="460"/>
      <c r="C10" s="449" t="s">
        <v>2706</v>
      </c>
      <c r="D10" s="456" t="s">
        <v>923</v>
      </c>
      <c r="E10" s="456" t="s">
        <v>7</v>
      </c>
      <c r="F10" s="461" t="s">
        <v>2707</v>
      </c>
      <c r="G10" s="451" t="s">
        <v>2701</v>
      </c>
      <c r="H10" s="456">
        <v>20</v>
      </c>
      <c r="I10" s="449" t="s">
        <v>2708</v>
      </c>
      <c r="J10" s="456">
        <v>0.2</v>
      </c>
      <c r="K10" s="456">
        <v>120</v>
      </c>
      <c r="L10" s="449" t="s">
        <v>2703</v>
      </c>
      <c r="M10" s="449" t="s">
        <v>2704</v>
      </c>
      <c r="N10" s="475"/>
      <c r="O10" s="480"/>
    </row>
    <row r="11" ht="46.8" spans="2:15">
      <c r="B11" s="460"/>
      <c r="C11" s="456" t="s">
        <v>2709</v>
      </c>
      <c r="D11" s="456" t="s">
        <v>2710</v>
      </c>
      <c r="E11" s="456" t="s">
        <v>7</v>
      </c>
      <c r="F11" s="461">
        <v>0.54</v>
      </c>
      <c r="G11" s="451" t="s">
        <v>2701</v>
      </c>
      <c r="H11" s="449">
        <v>18</v>
      </c>
      <c r="I11" s="449" t="s">
        <v>2702</v>
      </c>
      <c r="J11" s="456">
        <v>0.2</v>
      </c>
      <c r="K11" s="449">
        <v>117</v>
      </c>
      <c r="L11" s="449" t="s">
        <v>2703</v>
      </c>
      <c r="M11" s="449" t="s">
        <v>2704</v>
      </c>
      <c r="N11" s="475"/>
      <c r="O11" s="480"/>
    </row>
    <row r="12" ht="46.8" spans="2:15">
      <c r="B12" s="460"/>
      <c r="C12" s="456" t="s">
        <v>2711</v>
      </c>
      <c r="D12" s="456" t="s">
        <v>2712</v>
      </c>
      <c r="E12" s="456" t="s">
        <v>7</v>
      </c>
      <c r="F12" s="461">
        <v>0.23</v>
      </c>
      <c r="G12" s="451" t="s">
        <v>2701</v>
      </c>
      <c r="H12" s="449">
        <v>18</v>
      </c>
      <c r="I12" s="449" t="s">
        <v>2702</v>
      </c>
      <c r="J12" s="456">
        <v>0.2</v>
      </c>
      <c r="K12" s="449">
        <v>117</v>
      </c>
      <c r="L12" s="449" t="s">
        <v>2703</v>
      </c>
      <c r="M12" s="449" t="s">
        <v>2704</v>
      </c>
      <c r="N12" s="475"/>
      <c r="O12" s="480"/>
    </row>
    <row r="13" ht="46.8" spans="2:15">
      <c r="B13" s="460"/>
      <c r="C13" s="456" t="s">
        <v>2713</v>
      </c>
      <c r="D13" s="456" t="s">
        <v>2714</v>
      </c>
      <c r="E13" s="456" t="s">
        <v>7</v>
      </c>
      <c r="F13" s="461">
        <v>0.85</v>
      </c>
      <c r="G13" s="451" t="s">
        <v>2701</v>
      </c>
      <c r="H13" s="456">
        <v>25</v>
      </c>
      <c r="I13" s="449" t="s">
        <v>2715</v>
      </c>
      <c r="J13" s="456">
        <v>0.2</v>
      </c>
      <c r="K13" s="456">
        <v>115</v>
      </c>
      <c r="L13" s="449" t="s">
        <v>2703</v>
      </c>
      <c r="M13" s="449" t="s">
        <v>2104</v>
      </c>
      <c r="N13" s="475"/>
      <c r="O13" s="480"/>
    </row>
    <row r="14" ht="46.8" spans="2:15">
      <c r="B14" s="460"/>
      <c r="C14" s="456" t="s">
        <v>2716</v>
      </c>
      <c r="D14" s="456" t="s">
        <v>2714</v>
      </c>
      <c r="E14" s="456" t="s">
        <v>7</v>
      </c>
      <c r="F14" s="461" t="s">
        <v>2707</v>
      </c>
      <c r="G14" s="451" t="s">
        <v>2701</v>
      </c>
      <c r="H14" s="456">
        <v>20</v>
      </c>
      <c r="I14" s="449" t="s">
        <v>2708</v>
      </c>
      <c r="J14" s="456">
        <v>0.2</v>
      </c>
      <c r="K14" s="456">
        <v>120</v>
      </c>
      <c r="L14" s="449" t="s">
        <v>2703</v>
      </c>
      <c r="M14" s="449" t="s">
        <v>2104</v>
      </c>
      <c r="N14" s="475"/>
      <c r="O14" s="480"/>
    </row>
    <row r="15" ht="13.5" customHeight="1" spans="2:15">
      <c r="B15" s="462" t="s">
        <v>2717</v>
      </c>
      <c r="C15" s="459" t="s">
        <v>2718</v>
      </c>
      <c r="D15" s="449" t="s">
        <v>923</v>
      </c>
      <c r="E15" s="449" t="s">
        <v>7</v>
      </c>
      <c r="F15" s="454">
        <v>0.92</v>
      </c>
      <c r="G15" s="454" t="s">
        <v>2719</v>
      </c>
      <c r="H15" s="449">
        <v>30</v>
      </c>
      <c r="I15" s="449" t="s">
        <v>2720</v>
      </c>
      <c r="J15" s="449">
        <v>4</v>
      </c>
      <c r="K15" s="449">
        <v>118</v>
      </c>
      <c r="L15" s="449">
        <v>0.65</v>
      </c>
      <c r="M15" s="449" t="s">
        <v>2704</v>
      </c>
      <c r="N15" s="475"/>
      <c r="O15" s="474" t="s">
        <v>1280</v>
      </c>
    </row>
    <row r="16" ht="13.5" customHeight="1" spans="2:15">
      <c r="B16" s="463"/>
      <c r="C16" s="459" t="s">
        <v>2721</v>
      </c>
      <c r="D16" s="449" t="s">
        <v>2722</v>
      </c>
      <c r="E16" s="449" t="s">
        <v>7</v>
      </c>
      <c r="F16" s="454">
        <v>0.92</v>
      </c>
      <c r="G16" s="454" t="s">
        <v>2719</v>
      </c>
      <c r="H16" s="449">
        <v>24</v>
      </c>
      <c r="I16" s="449" t="s">
        <v>2720</v>
      </c>
      <c r="J16" s="449">
        <v>4</v>
      </c>
      <c r="K16" s="449">
        <v>123</v>
      </c>
      <c r="L16" s="449">
        <v>0.6</v>
      </c>
      <c r="M16" s="449" t="s">
        <v>2704</v>
      </c>
      <c r="N16" s="475"/>
      <c r="O16" s="474" t="s">
        <v>2723</v>
      </c>
    </row>
    <row r="17" ht="13.5" customHeight="1" spans="2:15">
      <c r="B17" s="448" t="s">
        <v>1963</v>
      </c>
      <c r="C17" s="449" t="s">
        <v>2724</v>
      </c>
      <c r="D17" s="449" t="s">
        <v>2725</v>
      </c>
      <c r="E17" s="449" t="s">
        <v>7</v>
      </c>
      <c r="F17" s="454">
        <v>0.786</v>
      </c>
      <c r="G17" s="454" t="s">
        <v>7</v>
      </c>
      <c r="H17" s="449">
        <v>18.5</v>
      </c>
      <c r="I17" s="449" t="s">
        <v>2726</v>
      </c>
      <c r="J17" s="449" t="s">
        <v>7</v>
      </c>
      <c r="K17" s="449">
        <v>221.2</v>
      </c>
      <c r="L17" s="449" t="s">
        <v>7</v>
      </c>
      <c r="M17" s="449"/>
      <c r="N17" s="481"/>
      <c r="O17" s="474" t="s">
        <v>2689</v>
      </c>
    </row>
    <row r="18" ht="13.5" customHeight="1" spans="2:15">
      <c r="B18" s="464"/>
      <c r="C18" s="465"/>
      <c r="D18" s="465"/>
      <c r="E18" s="465"/>
      <c r="F18" s="465"/>
      <c r="G18" s="465"/>
      <c r="H18" s="465"/>
      <c r="I18" s="465"/>
      <c r="J18" s="465"/>
      <c r="K18" s="465"/>
      <c r="L18" s="465"/>
      <c r="M18" s="465"/>
      <c r="N18" s="465"/>
      <c r="O18" s="482"/>
    </row>
    <row r="19" spans="2:15">
      <c r="B19" s="466"/>
      <c r="C19" s="467" t="s">
        <v>2121</v>
      </c>
      <c r="D19" s="468" t="s">
        <v>2727</v>
      </c>
      <c r="E19" s="469"/>
      <c r="F19" s="469"/>
      <c r="G19" s="469"/>
      <c r="H19" s="469"/>
      <c r="I19" s="469"/>
      <c r="J19" s="469"/>
      <c r="K19" s="469"/>
      <c r="L19" s="469"/>
      <c r="M19" s="469"/>
      <c r="N19" s="465"/>
      <c r="O19" s="482"/>
    </row>
    <row r="20" spans="2:15">
      <c r="B20" s="466"/>
      <c r="C20" s="467"/>
      <c r="D20" s="469"/>
      <c r="E20" s="469"/>
      <c r="F20" s="469"/>
      <c r="G20" s="469"/>
      <c r="H20" s="469"/>
      <c r="I20" s="469"/>
      <c r="J20" s="469"/>
      <c r="K20" s="469"/>
      <c r="L20" s="469"/>
      <c r="M20" s="469"/>
      <c r="N20" s="465"/>
      <c r="O20" s="482"/>
    </row>
    <row r="21" spans="2:15">
      <c r="B21" s="466"/>
      <c r="C21" s="467"/>
      <c r="D21" s="469"/>
      <c r="E21" s="469"/>
      <c r="F21" s="469"/>
      <c r="G21" s="469"/>
      <c r="H21" s="469"/>
      <c r="I21" s="469"/>
      <c r="J21" s="469"/>
      <c r="K21" s="469"/>
      <c r="L21" s="469"/>
      <c r="M21" s="469"/>
      <c r="N21" s="465"/>
      <c r="O21" s="482"/>
    </row>
    <row r="22" spans="2:15">
      <c r="B22" s="466"/>
      <c r="C22" s="467"/>
      <c r="D22" s="469"/>
      <c r="E22" s="469"/>
      <c r="F22" s="469"/>
      <c r="G22" s="469"/>
      <c r="H22" s="469"/>
      <c r="I22" s="469"/>
      <c r="J22" s="469"/>
      <c r="K22" s="469"/>
      <c r="L22" s="469"/>
      <c r="M22" s="469"/>
      <c r="N22" s="465"/>
      <c r="O22" s="482"/>
    </row>
    <row r="23" spans="2:15">
      <c r="B23" s="466"/>
      <c r="C23" s="465"/>
      <c r="D23" s="465"/>
      <c r="E23" s="465"/>
      <c r="F23" s="465"/>
      <c r="G23" s="465"/>
      <c r="H23" s="465"/>
      <c r="I23" s="465"/>
      <c r="J23" s="465"/>
      <c r="K23" s="465"/>
      <c r="L23" s="465"/>
      <c r="M23" s="465"/>
      <c r="N23" s="465"/>
      <c r="O23" s="436" t="s">
        <v>2728</v>
      </c>
    </row>
    <row r="24" spans="2:15">
      <c r="B24" s="466"/>
      <c r="C24" s="465"/>
      <c r="D24" s="465"/>
      <c r="E24" s="465"/>
      <c r="F24" s="465"/>
      <c r="G24" s="465"/>
      <c r="H24" s="465"/>
      <c r="I24" s="465"/>
      <c r="J24" s="465"/>
      <c r="K24" s="465"/>
      <c r="L24" s="465"/>
      <c r="M24" s="465"/>
      <c r="N24" s="465"/>
      <c r="O24" s="482"/>
    </row>
    <row r="25" ht="15.15" spans="2:15">
      <c r="B25" s="470"/>
      <c r="C25" s="471"/>
      <c r="D25" s="471"/>
      <c r="E25" s="471"/>
      <c r="F25" s="471"/>
      <c r="G25" s="471"/>
      <c r="H25" s="471"/>
      <c r="I25" s="471"/>
      <c r="J25" s="471"/>
      <c r="K25" s="471"/>
      <c r="L25" s="471"/>
      <c r="M25" s="471"/>
      <c r="N25" s="471"/>
      <c r="O25" s="483"/>
    </row>
    <row r="26" ht="15.15"/>
  </sheetData>
  <mergeCells count="21">
    <mergeCell ref="B2:B3"/>
    <mergeCell ref="B5:B6"/>
    <mergeCell ref="B9:B14"/>
    <mergeCell ref="B15:B16"/>
    <mergeCell ref="C2:C3"/>
    <mergeCell ref="C19:C22"/>
    <mergeCell ref="D2:D3"/>
    <mergeCell ref="E2:E3"/>
    <mergeCell ref="F2:F3"/>
    <mergeCell ref="G2:G3"/>
    <mergeCell ref="H2:H3"/>
    <mergeCell ref="I2:I3"/>
    <mergeCell ref="K2:K3"/>
    <mergeCell ref="L2:L3"/>
    <mergeCell ref="M2:M3"/>
    <mergeCell ref="N2:N3"/>
    <mergeCell ref="N4:N17"/>
    <mergeCell ref="O2:O3"/>
    <mergeCell ref="O5:O6"/>
    <mergeCell ref="O9:O14"/>
    <mergeCell ref="D19:M22"/>
  </mergeCells>
  <pageMargins left="0.7" right="0.7" top="0.75" bottom="0.75" header="0.3" footer="0.3"/>
  <headerFooter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3"/>
  <dimension ref="B2:S63"/>
  <sheetViews>
    <sheetView workbookViewId="0">
      <selection activeCell="C14" sqref="C14"/>
    </sheetView>
  </sheetViews>
  <sheetFormatPr defaultColWidth="8.88888888888889" defaultRowHeight="14.4"/>
  <cols>
    <col min="1" max="1" width="3.88888888888889" style="347" customWidth="1"/>
    <col min="2" max="2" width="13.3333333333333" style="347" customWidth="1"/>
    <col min="3" max="3" width="16.8888888888889" style="347" customWidth="1"/>
    <col min="4" max="4" width="11.2222222222222" style="347" customWidth="1"/>
    <col min="5" max="5" width="24.6666666666667" style="347" customWidth="1"/>
    <col min="6" max="6" width="32.8888888888889" style="347" customWidth="1"/>
    <col min="7" max="7" width="14.4444444444444" style="347" customWidth="1"/>
    <col min="8" max="8" width="8.88888888888889" style="347"/>
    <col min="9" max="9" width="13.6666666666667" style="347" customWidth="1"/>
    <col min="10" max="11" width="8.88888888888889" style="347"/>
    <col min="12" max="12" width="16.4444444444444" style="347" customWidth="1"/>
    <col min="13" max="16384" width="8.88888888888889" style="347"/>
  </cols>
  <sheetData>
    <row r="2" spans="2:3">
      <c r="B2" s="348" t="s">
        <v>5</v>
      </c>
      <c r="C2" s="349" t="str">
        <f>亮度與BLU功耗!E33</f>
        <v>V-CUT</v>
      </c>
    </row>
    <row r="3" spans="2:3">
      <c r="B3" s="348" t="s">
        <v>105</v>
      </c>
      <c r="C3" s="349">
        <f>亮度與BLU功耗!E34</f>
        <v>0.5</v>
      </c>
    </row>
    <row r="4" spans="2:3">
      <c r="B4" s="348" t="s">
        <v>2729</v>
      </c>
      <c r="C4" s="349">
        <f>INDEX(C9:L14,MATCH(C2,B9:B14,0),MATCH(C3,C8:L8,0))</f>
        <v>7</v>
      </c>
    </row>
    <row r="5" spans="3:3">
      <c r="C5" s="350"/>
    </row>
    <row r="6" spans="2:12">
      <c r="B6" s="351" t="s">
        <v>2730</v>
      </c>
      <c r="C6"/>
      <c r="D6"/>
      <c r="E6"/>
      <c r="F6"/>
      <c r="G6"/>
      <c r="H6"/>
      <c r="I6"/>
      <c r="J6"/>
      <c r="K6"/>
      <c r="L6"/>
    </row>
    <row r="7" spans="2:12">
      <c r="B7"/>
      <c r="C7" s="352" t="s">
        <v>2731</v>
      </c>
      <c r="D7" s="352"/>
      <c r="E7" s="352"/>
      <c r="F7" s="352"/>
      <c r="G7" s="352"/>
      <c r="H7" s="352"/>
      <c r="I7" s="352"/>
      <c r="J7" s="352"/>
      <c r="K7" s="352"/>
      <c r="L7" s="352"/>
    </row>
    <row r="8" spans="2:12">
      <c r="B8" s="353" t="s">
        <v>874</v>
      </c>
      <c r="C8" s="352">
        <v>0.45</v>
      </c>
      <c r="D8" s="352">
        <v>0.5</v>
      </c>
      <c r="E8" s="352">
        <v>0.55</v>
      </c>
      <c r="F8" s="352">
        <v>0.6</v>
      </c>
      <c r="G8" s="352">
        <v>0.65</v>
      </c>
      <c r="H8" s="352">
        <v>0.7</v>
      </c>
      <c r="I8" s="352">
        <v>0.75</v>
      </c>
      <c r="J8" s="352">
        <v>0.8</v>
      </c>
      <c r="K8" s="352">
        <v>0.9</v>
      </c>
      <c r="L8" s="352">
        <v>1</v>
      </c>
    </row>
    <row r="9" spans="2:12">
      <c r="B9" s="354" t="s">
        <v>875</v>
      </c>
      <c r="C9" s="152">
        <v>8.84</v>
      </c>
      <c r="D9" s="152">
        <v>7</v>
      </c>
      <c r="E9" s="152">
        <v>6.43</v>
      </c>
      <c r="F9" s="152">
        <v>6</v>
      </c>
      <c r="G9" s="152" t="s">
        <v>2732</v>
      </c>
      <c r="H9" s="152">
        <v>6</v>
      </c>
      <c r="I9" s="152" t="s">
        <v>2732</v>
      </c>
      <c r="J9" s="152">
        <v>8.1</v>
      </c>
      <c r="K9" s="152" t="s">
        <v>2732</v>
      </c>
      <c r="L9" s="152">
        <v>9.5</v>
      </c>
    </row>
    <row r="10" spans="2:12">
      <c r="B10" s="354" t="s">
        <v>906</v>
      </c>
      <c r="C10" s="152">
        <v>6.8</v>
      </c>
      <c r="D10" s="152">
        <v>5.45</v>
      </c>
      <c r="E10" s="152">
        <v>5.15</v>
      </c>
      <c r="F10" s="152">
        <v>5</v>
      </c>
      <c r="G10" s="152" t="s">
        <v>2732</v>
      </c>
      <c r="H10" s="152">
        <v>5</v>
      </c>
      <c r="I10" s="152" t="s">
        <v>2732</v>
      </c>
      <c r="J10" s="152">
        <v>6.5</v>
      </c>
      <c r="K10" s="152" t="s">
        <v>2732</v>
      </c>
      <c r="L10" s="152">
        <v>7.3</v>
      </c>
    </row>
    <row r="11" spans="2:12">
      <c r="B11" s="354" t="s">
        <v>909</v>
      </c>
      <c r="C11" s="152">
        <v>20</v>
      </c>
      <c r="D11" s="152">
        <v>18</v>
      </c>
      <c r="E11" s="152">
        <v>18</v>
      </c>
      <c r="F11" s="152">
        <v>18</v>
      </c>
      <c r="G11" s="152">
        <v>18</v>
      </c>
      <c r="H11" s="152">
        <v>17</v>
      </c>
      <c r="I11" s="152">
        <v>17</v>
      </c>
      <c r="J11" s="152">
        <v>18</v>
      </c>
      <c r="K11" s="152">
        <v>18</v>
      </c>
      <c r="L11" s="152">
        <v>18</v>
      </c>
    </row>
    <row r="12" spans="2:12">
      <c r="B12" s="354" t="s">
        <v>2733</v>
      </c>
      <c r="C12" s="355" t="s">
        <v>2734</v>
      </c>
      <c r="D12" s="356"/>
      <c r="E12" s="356"/>
      <c r="F12" s="356"/>
      <c r="G12" s="356"/>
      <c r="H12" s="356"/>
      <c r="I12" s="356"/>
      <c r="J12" s="356"/>
      <c r="K12" s="356"/>
      <c r="L12" s="395"/>
    </row>
    <row r="13" spans="2:12">
      <c r="B13" s="357" t="s">
        <v>912</v>
      </c>
      <c r="C13" s="152">
        <v>14</v>
      </c>
      <c r="D13" s="152">
        <v>13.5</v>
      </c>
      <c r="E13" s="152">
        <v>13.5</v>
      </c>
      <c r="F13" s="152">
        <v>12.8</v>
      </c>
      <c r="G13" s="152" t="s">
        <v>2732</v>
      </c>
      <c r="H13" s="152">
        <v>12.8</v>
      </c>
      <c r="I13" s="152" t="s">
        <v>2732</v>
      </c>
      <c r="J13" s="152">
        <v>14</v>
      </c>
      <c r="K13" s="152" t="s">
        <v>2732</v>
      </c>
      <c r="L13" s="152">
        <v>14</v>
      </c>
    </row>
    <row r="14" spans="2:12">
      <c r="B14" s="358" t="s">
        <v>910</v>
      </c>
      <c r="C14" s="152">
        <v>6.8</v>
      </c>
      <c r="D14" s="152">
        <v>5.45</v>
      </c>
      <c r="E14" s="152">
        <v>5.15</v>
      </c>
      <c r="F14" s="152">
        <v>5</v>
      </c>
      <c r="G14" s="152" t="s">
        <v>2732</v>
      </c>
      <c r="H14" s="152">
        <v>5</v>
      </c>
      <c r="I14" s="152" t="s">
        <v>2732</v>
      </c>
      <c r="J14" s="152">
        <v>6.5</v>
      </c>
      <c r="K14" s="152" t="s">
        <v>2732</v>
      </c>
      <c r="L14" s="152">
        <v>7.3</v>
      </c>
    </row>
    <row r="16" spans="2:2">
      <c r="B16" s="359" t="s">
        <v>2735</v>
      </c>
    </row>
    <row r="17" spans="2:2">
      <c r="B17" s="360" t="s">
        <v>2736</v>
      </c>
    </row>
    <row r="18" spans="2:2">
      <c r="B18" s="359" t="s">
        <v>2737</v>
      </c>
    </row>
    <row r="19" ht="15.15"/>
    <row r="20" ht="17.25" customHeight="1" spans="2:19">
      <c r="B20" s="361" t="s">
        <v>91</v>
      </c>
      <c r="C20" s="362" t="s">
        <v>67</v>
      </c>
      <c r="D20" s="363" t="s">
        <v>2738</v>
      </c>
      <c r="E20" s="363" t="s">
        <v>2739</v>
      </c>
      <c r="F20" s="362" t="s">
        <v>2740</v>
      </c>
      <c r="G20" s="363" t="s">
        <v>2741</v>
      </c>
      <c r="H20" s="363"/>
      <c r="I20" s="363" t="s">
        <v>2742</v>
      </c>
      <c r="J20" s="363"/>
      <c r="K20" s="363" t="s">
        <v>2743</v>
      </c>
      <c r="L20" s="363"/>
      <c r="M20" s="363" t="s">
        <v>2744</v>
      </c>
      <c r="N20" s="363"/>
      <c r="O20" s="363" t="s">
        <v>2745</v>
      </c>
      <c r="P20" s="363"/>
      <c r="Q20" s="363" t="s">
        <v>2746</v>
      </c>
      <c r="R20" s="363"/>
      <c r="S20" s="433"/>
    </row>
    <row r="21" ht="16.8" spans="2:19">
      <c r="B21" s="364"/>
      <c r="C21" s="365"/>
      <c r="D21" s="365"/>
      <c r="E21" s="365"/>
      <c r="F21" s="365"/>
      <c r="G21" s="366" t="s">
        <v>2747</v>
      </c>
      <c r="H21" s="366" t="s">
        <v>2748</v>
      </c>
      <c r="I21" s="366" t="s">
        <v>2747</v>
      </c>
      <c r="J21" s="366" t="s">
        <v>2749</v>
      </c>
      <c r="K21" s="366" t="s">
        <v>2747</v>
      </c>
      <c r="L21" s="366" t="s">
        <v>2749</v>
      </c>
      <c r="M21" s="366" t="s">
        <v>2747</v>
      </c>
      <c r="N21" s="366" t="s">
        <v>2749</v>
      </c>
      <c r="O21" s="366" t="s">
        <v>2747</v>
      </c>
      <c r="P21" s="366" t="s">
        <v>2750</v>
      </c>
      <c r="Q21" s="366" t="s">
        <v>2747</v>
      </c>
      <c r="R21" s="366" t="s">
        <v>2751</v>
      </c>
      <c r="S21" s="434"/>
    </row>
    <row r="22" ht="15.6" spans="2:19">
      <c r="B22" s="367" t="s">
        <v>1569</v>
      </c>
      <c r="C22" s="368" t="s">
        <v>2752</v>
      </c>
      <c r="D22" s="368" t="s">
        <v>2753</v>
      </c>
      <c r="E22" s="368" t="s">
        <v>2754</v>
      </c>
      <c r="F22" s="368" t="s">
        <v>2755</v>
      </c>
      <c r="G22" s="368" t="s">
        <v>2756</v>
      </c>
      <c r="H22" s="368">
        <v>1.19</v>
      </c>
      <c r="I22" s="368" t="s">
        <v>2757</v>
      </c>
      <c r="J22" s="396">
        <v>0.93</v>
      </c>
      <c r="K22" s="368" t="s">
        <v>2758</v>
      </c>
      <c r="L22" s="397">
        <v>0.003</v>
      </c>
      <c r="M22" s="368" t="s">
        <v>2759</v>
      </c>
      <c r="N22" s="368" t="s">
        <v>2760</v>
      </c>
      <c r="O22" s="368" t="s">
        <v>2761</v>
      </c>
      <c r="P22" s="368">
        <v>2</v>
      </c>
      <c r="Q22" s="368" t="s">
        <v>2762</v>
      </c>
      <c r="R22" s="368">
        <v>1.5</v>
      </c>
      <c r="S22" s="434" t="s">
        <v>2763</v>
      </c>
    </row>
    <row r="23" ht="15.6" spans="2:19">
      <c r="B23" s="367" t="s">
        <v>1569</v>
      </c>
      <c r="C23" s="368" t="s">
        <v>2764</v>
      </c>
      <c r="D23" s="368" t="s">
        <v>2753</v>
      </c>
      <c r="E23" s="368" t="s">
        <v>2765</v>
      </c>
      <c r="F23" s="368" t="s">
        <v>2766</v>
      </c>
      <c r="G23" s="368" t="s">
        <v>2767</v>
      </c>
      <c r="H23" s="368">
        <v>1.18</v>
      </c>
      <c r="I23" s="368" t="s">
        <v>2768</v>
      </c>
      <c r="J23" s="396">
        <v>0.92</v>
      </c>
      <c r="K23" s="368" t="s">
        <v>2758</v>
      </c>
      <c r="L23" s="397">
        <v>0.003</v>
      </c>
      <c r="M23" s="368" t="s">
        <v>2759</v>
      </c>
      <c r="N23" s="368" t="s">
        <v>2760</v>
      </c>
      <c r="O23" s="368" t="s">
        <v>2761</v>
      </c>
      <c r="P23" s="368">
        <v>2</v>
      </c>
      <c r="Q23" s="368" t="s">
        <v>2762</v>
      </c>
      <c r="R23" s="368">
        <v>1.5</v>
      </c>
      <c r="S23" s="434" t="s">
        <v>2763</v>
      </c>
    </row>
    <row r="24" ht="15.6" spans="2:19">
      <c r="B24" s="367" t="s">
        <v>1569</v>
      </c>
      <c r="C24" s="368" t="s">
        <v>2769</v>
      </c>
      <c r="D24" s="368" t="s">
        <v>2770</v>
      </c>
      <c r="E24" s="368" t="s">
        <v>2771</v>
      </c>
      <c r="F24" s="368" t="s">
        <v>2772</v>
      </c>
      <c r="G24" s="368" t="s">
        <v>2773</v>
      </c>
      <c r="H24" s="368">
        <v>1.19</v>
      </c>
      <c r="I24" s="368" t="s">
        <v>2774</v>
      </c>
      <c r="J24" s="368" t="s">
        <v>2775</v>
      </c>
      <c r="K24" s="368" t="s">
        <v>2776</v>
      </c>
      <c r="L24" s="397">
        <v>0.003</v>
      </c>
      <c r="M24" s="368" t="s">
        <v>2777</v>
      </c>
      <c r="N24" s="368" t="s">
        <v>2778</v>
      </c>
      <c r="O24" s="368" t="s">
        <v>2761</v>
      </c>
      <c r="P24" s="368">
        <v>2</v>
      </c>
      <c r="Q24" s="368" t="s">
        <v>2762</v>
      </c>
      <c r="R24" s="368">
        <v>1.5</v>
      </c>
      <c r="S24" s="434" t="s">
        <v>2763</v>
      </c>
    </row>
    <row r="25" ht="15.6" spans="2:19">
      <c r="B25" s="367" t="s">
        <v>1569</v>
      </c>
      <c r="C25" s="368" t="s">
        <v>2779</v>
      </c>
      <c r="D25" s="368" t="s">
        <v>2753</v>
      </c>
      <c r="E25" s="368" t="s">
        <v>2780</v>
      </c>
      <c r="F25" s="368" t="s">
        <v>2781</v>
      </c>
      <c r="G25" s="368" t="s">
        <v>2782</v>
      </c>
      <c r="H25" s="368">
        <v>1.19</v>
      </c>
      <c r="I25" s="368" t="s">
        <v>2783</v>
      </c>
      <c r="J25" s="396">
        <v>0.92</v>
      </c>
      <c r="K25" s="368" t="s">
        <v>2784</v>
      </c>
      <c r="L25" s="397">
        <v>0.003</v>
      </c>
      <c r="M25" s="368" t="s">
        <v>2785</v>
      </c>
      <c r="N25" s="368" t="s">
        <v>2786</v>
      </c>
      <c r="O25" s="368" t="s">
        <v>2761</v>
      </c>
      <c r="P25" s="368">
        <v>2</v>
      </c>
      <c r="Q25" s="368" t="s">
        <v>2762</v>
      </c>
      <c r="R25" s="368">
        <v>1.5</v>
      </c>
      <c r="S25" s="434" t="s">
        <v>2763</v>
      </c>
    </row>
    <row r="26" ht="15.6" spans="2:19">
      <c r="B26" s="367" t="s">
        <v>92</v>
      </c>
      <c r="C26" s="368" t="s">
        <v>2787</v>
      </c>
      <c r="D26" s="368" t="s">
        <v>2788</v>
      </c>
      <c r="E26" s="368" t="s">
        <v>2789</v>
      </c>
      <c r="F26" s="368" t="s">
        <v>2790</v>
      </c>
      <c r="G26" s="368" t="s">
        <v>2767</v>
      </c>
      <c r="H26" s="368">
        <v>1.2</v>
      </c>
      <c r="I26" s="368" t="s">
        <v>2768</v>
      </c>
      <c r="J26" s="368" t="s">
        <v>2791</v>
      </c>
      <c r="K26" s="368" t="s">
        <v>2758</v>
      </c>
      <c r="L26" s="397">
        <v>0.0015</v>
      </c>
      <c r="M26" s="368" t="s">
        <v>2759</v>
      </c>
      <c r="N26" s="368" t="s">
        <v>2760</v>
      </c>
      <c r="O26" s="368" t="s">
        <v>2761</v>
      </c>
      <c r="P26" s="368">
        <v>2</v>
      </c>
      <c r="Q26" s="368" t="s">
        <v>2762</v>
      </c>
      <c r="R26" s="368">
        <v>1.5</v>
      </c>
      <c r="S26" s="434" t="s">
        <v>2763</v>
      </c>
    </row>
    <row r="27" ht="15.6" spans="2:19">
      <c r="B27" s="367" t="s">
        <v>1569</v>
      </c>
      <c r="C27" s="368" t="s">
        <v>2792</v>
      </c>
      <c r="D27" s="368" t="s">
        <v>2793</v>
      </c>
      <c r="E27" s="368" t="s">
        <v>2794</v>
      </c>
      <c r="F27" s="368" t="s">
        <v>2795</v>
      </c>
      <c r="G27" s="368" t="s">
        <v>2773</v>
      </c>
      <c r="H27" s="368">
        <v>1.19</v>
      </c>
      <c r="I27" s="368" t="s">
        <v>2796</v>
      </c>
      <c r="J27" s="396" t="s">
        <v>2797</v>
      </c>
      <c r="K27" s="368" t="s">
        <v>2798</v>
      </c>
      <c r="L27" s="397">
        <v>0.003</v>
      </c>
      <c r="M27" s="368" t="s">
        <v>104</v>
      </c>
      <c r="N27" s="397" t="s">
        <v>104</v>
      </c>
      <c r="O27" s="368" t="s">
        <v>2799</v>
      </c>
      <c r="P27" s="368">
        <v>10</v>
      </c>
      <c r="Q27" s="368" t="s">
        <v>2800</v>
      </c>
      <c r="R27" s="368">
        <v>1.3</v>
      </c>
      <c r="S27" s="434" t="s">
        <v>2801</v>
      </c>
    </row>
    <row r="28" ht="15.6" spans="2:19">
      <c r="B28" s="367" t="s">
        <v>1569</v>
      </c>
      <c r="C28" s="368" t="s">
        <v>2764</v>
      </c>
      <c r="D28" s="368" t="s">
        <v>2753</v>
      </c>
      <c r="E28" s="368" t="s">
        <v>2802</v>
      </c>
      <c r="F28" s="368" t="s">
        <v>2803</v>
      </c>
      <c r="G28" s="368" t="s">
        <v>2767</v>
      </c>
      <c r="H28" s="368">
        <v>1.18</v>
      </c>
      <c r="I28" s="368" t="s">
        <v>2768</v>
      </c>
      <c r="J28" s="368">
        <v>92</v>
      </c>
      <c r="K28" s="368" t="s">
        <v>2758</v>
      </c>
      <c r="L28" s="397">
        <v>0.003</v>
      </c>
      <c r="M28" s="368" t="s">
        <v>2759</v>
      </c>
      <c r="N28" s="368" t="s">
        <v>2760</v>
      </c>
      <c r="O28" s="368" t="s">
        <v>2761</v>
      </c>
      <c r="P28" s="368">
        <v>1.5</v>
      </c>
      <c r="Q28" s="368" t="s">
        <v>2762</v>
      </c>
      <c r="R28" s="368">
        <v>1.5</v>
      </c>
      <c r="S28" s="434" t="s">
        <v>2804</v>
      </c>
    </row>
    <row r="29" ht="15.6" spans="2:19">
      <c r="B29" s="367" t="s">
        <v>92</v>
      </c>
      <c r="C29" s="368" t="s">
        <v>2805</v>
      </c>
      <c r="D29" s="368" t="s">
        <v>2806</v>
      </c>
      <c r="E29" s="368" t="s">
        <v>2807</v>
      </c>
      <c r="F29" s="368" t="s">
        <v>2808</v>
      </c>
      <c r="G29" s="368" t="s">
        <v>2809</v>
      </c>
      <c r="H29" s="368">
        <v>1.2</v>
      </c>
      <c r="I29" s="368" t="s">
        <v>2810</v>
      </c>
      <c r="J29" s="368">
        <v>89</v>
      </c>
      <c r="K29" s="368" t="s">
        <v>2798</v>
      </c>
      <c r="L29" s="397">
        <v>0.0015</v>
      </c>
      <c r="M29" s="368" t="s">
        <v>2811</v>
      </c>
      <c r="N29" s="368" t="s">
        <v>2812</v>
      </c>
      <c r="O29" s="368" t="s">
        <v>104</v>
      </c>
      <c r="P29" s="368" t="s">
        <v>104</v>
      </c>
      <c r="Q29" s="368" t="s">
        <v>2813</v>
      </c>
      <c r="R29" s="368">
        <v>270</v>
      </c>
      <c r="S29" s="434" t="s">
        <v>2804</v>
      </c>
    </row>
    <row r="30" ht="16.8" spans="2:19">
      <c r="B30" s="367" t="s">
        <v>1569</v>
      </c>
      <c r="C30" s="368" t="s">
        <v>2814</v>
      </c>
      <c r="D30" s="368" t="s">
        <v>2753</v>
      </c>
      <c r="E30" s="368" t="s">
        <v>2815</v>
      </c>
      <c r="F30" s="368" t="s">
        <v>2816</v>
      </c>
      <c r="G30" s="368" t="s">
        <v>2767</v>
      </c>
      <c r="H30" s="368">
        <v>1.18</v>
      </c>
      <c r="I30" s="368" t="s">
        <v>2768</v>
      </c>
      <c r="J30" s="396">
        <v>0.92</v>
      </c>
      <c r="K30" s="368" t="s">
        <v>2817</v>
      </c>
      <c r="L30" s="397">
        <v>0.003</v>
      </c>
      <c r="M30" s="368" t="s">
        <v>2759</v>
      </c>
      <c r="N30" s="398" t="s">
        <v>2818</v>
      </c>
      <c r="O30" s="368" t="s">
        <v>2761</v>
      </c>
      <c r="P30" s="368">
        <v>2</v>
      </c>
      <c r="Q30" s="368" t="s">
        <v>2762</v>
      </c>
      <c r="R30" s="368">
        <v>1.5</v>
      </c>
      <c r="S30" s="434" t="s">
        <v>2819</v>
      </c>
    </row>
    <row r="31" ht="16.8" spans="2:19">
      <c r="B31" s="367" t="s">
        <v>92</v>
      </c>
      <c r="C31" s="368" t="s">
        <v>2805</v>
      </c>
      <c r="D31" s="368" t="s">
        <v>2806</v>
      </c>
      <c r="E31" s="368" t="s">
        <v>2807</v>
      </c>
      <c r="F31" s="368" t="s">
        <v>2820</v>
      </c>
      <c r="G31" s="368" t="s">
        <v>2767</v>
      </c>
      <c r="H31" s="368">
        <v>1.2</v>
      </c>
      <c r="I31" s="368" t="s">
        <v>2768</v>
      </c>
      <c r="J31" s="396">
        <v>0.91</v>
      </c>
      <c r="K31" s="368" t="s">
        <v>2817</v>
      </c>
      <c r="L31" s="397">
        <v>0.0032</v>
      </c>
      <c r="M31" s="368" t="s">
        <v>2759</v>
      </c>
      <c r="N31" s="398" t="s">
        <v>2821</v>
      </c>
      <c r="O31" s="368" t="s">
        <v>2761</v>
      </c>
      <c r="P31" s="368">
        <v>70</v>
      </c>
      <c r="Q31" s="368" t="s">
        <v>2762</v>
      </c>
      <c r="R31" s="368">
        <v>270</v>
      </c>
      <c r="S31" s="434" t="s">
        <v>2819</v>
      </c>
    </row>
    <row r="32" ht="15.6" spans="2:19">
      <c r="B32" s="367" t="s">
        <v>1569</v>
      </c>
      <c r="C32" s="368" t="s">
        <v>2814</v>
      </c>
      <c r="D32" s="368" t="s">
        <v>2806</v>
      </c>
      <c r="E32" s="368" t="s">
        <v>2765</v>
      </c>
      <c r="F32" s="368" t="s">
        <v>2822</v>
      </c>
      <c r="G32" s="368" t="s">
        <v>2767</v>
      </c>
      <c r="H32" s="368">
        <v>1.18</v>
      </c>
      <c r="I32" s="368" t="s">
        <v>2768</v>
      </c>
      <c r="J32" s="396">
        <v>0.92</v>
      </c>
      <c r="K32" s="368" t="s">
        <v>2758</v>
      </c>
      <c r="L32" s="397">
        <v>0.003</v>
      </c>
      <c r="M32" s="368" t="s">
        <v>2759</v>
      </c>
      <c r="N32" s="368" t="s">
        <v>2823</v>
      </c>
      <c r="O32" s="368" t="s">
        <v>2761</v>
      </c>
      <c r="P32" s="368">
        <v>2</v>
      </c>
      <c r="Q32" s="368" t="s">
        <v>2762</v>
      </c>
      <c r="R32" s="368">
        <v>1.5</v>
      </c>
      <c r="S32" s="434" t="s">
        <v>2824</v>
      </c>
    </row>
    <row r="33" ht="15.6" spans="2:19">
      <c r="B33" s="367"/>
      <c r="C33" s="368"/>
      <c r="D33" s="368"/>
      <c r="E33" s="368"/>
      <c r="F33" s="368"/>
      <c r="G33" s="368"/>
      <c r="H33" s="368"/>
      <c r="I33" s="368"/>
      <c r="J33" s="368"/>
      <c r="K33" s="368"/>
      <c r="L33" s="368"/>
      <c r="M33" s="368"/>
      <c r="N33" s="368"/>
      <c r="O33" s="368"/>
      <c r="P33" s="368"/>
      <c r="Q33" s="368"/>
      <c r="R33" s="368"/>
      <c r="S33" s="434"/>
    </row>
    <row r="34" ht="15.6" spans="2:19">
      <c r="B34" s="367"/>
      <c r="C34" s="368"/>
      <c r="D34" s="368"/>
      <c r="E34" s="368"/>
      <c r="F34" s="368"/>
      <c r="G34" s="368"/>
      <c r="H34" s="368"/>
      <c r="I34" s="368"/>
      <c r="J34" s="368"/>
      <c r="K34" s="368"/>
      <c r="L34" s="368"/>
      <c r="M34" s="368"/>
      <c r="N34" s="368"/>
      <c r="O34" s="368"/>
      <c r="P34" s="368"/>
      <c r="Q34" s="368"/>
      <c r="R34" s="368"/>
      <c r="S34" s="434"/>
    </row>
    <row r="35" ht="15.6" spans="2:19">
      <c r="B35" s="367"/>
      <c r="C35" s="368"/>
      <c r="D35" s="368"/>
      <c r="E35" s="368"/>
      <c r="F35" s="368"/>
      <c r="G35" s="368"/>
      <c r="H35" s="368"/>
      <c r="I35" s="368"/>
      <c r="J35" s="368"/>
      <c r="K35" s="368"/>
      <c r="L35" s="368"/>
      <c r="M35" s="368"/>
      <c r="N35" s="368"/>
      <c r="O35" s="368"/>
      <c r="P35" s="368"/>
      <c r="Q35" s="368"/>
      <c r="R35" s="368"/>
      <c r="S35" s="434"/>
    </row>
    <row r="36" ht="15.6" spans="2:19">
      <c r="B36" s="367"/>
      <c r="C36" s="368"/>
      <c r="D36" s="368"/>
      <c r="E36" s="368"/>
      <c r="F36" s="368"/>
      <c r="G36" s="368"/>
      <c r="H36" s="368"/>
      <c r="I36" s="368"/>
      <c r="J36" s="368"/>
      <c r="K36" s="368"/>
      <c r="L36" s="368"/>
      <c r="M36" s="368"/>
      <c r="N36" s="368"/>
      <c r="O36" s="368"/>
      <c r="P36" s="368"/>
      <c r="Q36" s="368"/>
      <c r="R36" s="368"/>
      <c r="S36" s="434"/>
    </row>
    <row r="37" ht="16.35" spans="2:19">
      <c r="B37" s="369"/>
      <c r="C37" s="370"/>
      <c r="D37" s="370"/>
      <c r="E37" s="370"/>
      <c r="F37" s="370"/>
      <c r="G37" s="370"/>
      <c r="H37" s="370"/>
      <c r="I37" s="370"/>
      <c r="J37" s="370"/>
      <c r="K37" s="370"/>
      <c r="L37" s="370"/>
      <c r="M37" s="370"/>
      <c r="N37" s="370"/>
      <c r="O37" s="370"/>
      <c r="P37" s="370"/>
      <c r="Q37" s="370"/>
      <c r="R37" s="370"/>
      <c r="S37" s="434"/>
    </row>
    <row r="38" ht="52.95" spans="2:19">
      <c r="B38" s="371" t="s">
        <v>2825</v>
      </c>
      <c r="C38" s="372" t="s">
        <v>2826</v>
      </c>
      <c r="D38" s="372" t="s">
        <v>2827</v>
      </c>
      <c r="E38" s="372" t="s">
        <v>2828</v>
      </c>
      <c r="F38" s="372" t="s">
        <v>2829</v>
      </c>
      <c r="G38" s="372" t="s">
        <v>2830</v>
      </c>
      <c r="H38" s="372" t="s">
        <v>2831</v>
      </c>
      <c r="I38" s="372" t="s">
        <v>2832</v>
      </c>
      <c r="J38" s="372" t="s">
        <v>2833</v>
      </c>
      <c r="K38" s="399" t="s">
        <v>2834</v>
      </c>
      <c r="L38" s="400"/>
      <c r="M38" s="400"/>
      <c r="N38" s="401"/>
      <c r="O38" s="402" t="s">
        <v>113</v>
      </c>
      <c r="P38" s="370"/>
      <c r="Q38" s="370"/>
      <c r="R38" s="370"/>
      <c r="S38" s="434"/>
    </row>
    <row r="39" ht="16.5" customHeight="1" spans="2:19">
      <c r="B39" s="373" t="s">
        <v>92</v>
      </c>
      <c r="C39" s="374" t="s">
        <v>2815</v>
      </c>
      <c r="D39" s="374" t="s">
        <v>2835</v>
      </c>
      <c r="E39" s="374" t="s">
        <v>2836</v>
      </c>
      <c r="F39" s="374" t="s">
        <v>2837</v>
      </c>
      <c r="G39" s="374" t="s">
        <v>2838</v>
      </c>
      <c r="H39" s="374" t="s">
        <v>2839</v>
      </c>
      <c r="I39" s="384" t="s">
        <v>2840</v>
      </c>
      <c r="J39" s="384" t="s">
        <v>2840</v>
      </c>
      <c r="K39" s="403" t="s">
        <v>2841</v>
      </c>
      <c r="L39" s="404"/>
      <c r="M39" s="404"/>
      <c r="N39" s="405"/>
      <c r="O39" s="406" t="s">
        <v>2842</v>
      </c>
      <c r="P39" s="370"/>
      <c r="Q39" s="370"/>
      <c r="R39" s="370"/>
      <c r="S39" s="434"/>
    </row>
    <row r="40" ht="33" customHeight="1" spans="2:19">
      <c r="B40" s="373"/>
      <c r="C40" s="375" t="s">
        <v>2843</v>
      </c>
      <c r="D40" s="375" t="s">
        <v>2835</v>
      </c>
      <c r="E40" s="375" t="s">
        <v>2805</v>
      </c>
      <c r="F40" s="376" t="s">
        <v>2837</v>
      </c>
      <c r="G40" s="375" t="s">
        <v>2844</v>
      </c>
      <c r="H40" s="375" t="s">
        <v>2845</v>
      </c>
      <c r="I40" s="375" t="s">
        <v>2104</v>
      </c>
      <c r="J40" s="375" t="s">
        <v>2104</v>
      </c>
      <c r="K40" s="407" t="s">
        <v>2846</v>
      </c>
      <c r="L40" s="408"/>
      <c r="M40" s="408"/>
      <c r="N40" s="409"/>
      <c r="O40" s="410" t="s">
        <v>2847</v>
      </c>
      <c r="P40" s="370"/>
      <c r="Q40" s="370"/>
      <c r="R40" s="370"/>
      <c r="S40" s="434"/>
    </row>
    <row r="41" ht="33.75" customHeight="1" spans="2:19">
      <c r="B41" s="377"/>
      <c r="C41" s="378" t="s">
        <v>2848</v>
      </c>
      <c r="D41" s="378" t="s">
        <v>2835</v>
      </c>
      <c r="E41" s="378" t="s">
        <v>2787</v>
      </c>
      <c r="F41" s="378" t="s">
        <v>2837</v>
      </c>
      <c r="G41" s="378" t="s">
        <v>2849</v>
      </c>
      <c r="H41" s="378" t="s">
        <v>2850</v>
      </c>
      <c r="I41" s="411" t="s">
        <v>2104</v>
      </c>
      <c r="J41" s="411" t="s">
        <v>2104</v>
      </c>
      <c r="K41" s="412" t="s">
        <v>2851</v>
      </c>
      <c r="L41" s="413"/>
      <c r="M41" s="413"/>
      <c r="N41" s="414"/>
      <c r="O41" s="415" t="s">
        <v>2847</v>
      </c>
      <c r="P41" s="370"/>
      <c r="Q41" s="370"/>
      <c r="R41" s="370"/>
      <c r="S41" s="434"/>
    </row>
    <row r="42" ht="16.5" customHeight="1" spans="2:19">
      <c r="B42" s="373" t="s">
        <v>1569</v>
      </c>
      <c r="C42" s="374" t="s">
        <v>2815</v>
      </c>
      <c r="D42" s="374" t="s">
        <v>2835</v>
      </c>
      <c r="E42" s="374" t="s">
        <v>2814</v>
      </c>
      <c r="F42" s="374" t="s">
        <v>2837</v>
      </c>
      <c r="G42" s="374" t="s">
        <v>2838</v>
      </c>
      <c r="H42" s="374" t="s">
        <v>2839</v>
      </c>
      <c r="I42" s="384" t="s">
        <v>2840</v>
      </c>
      <c r="J42" s="384" t="s">
        <v>2840</v>
      </c>
      <c r="K42" s="403" t="s">
        <v>2841</v>
      </c>
      <c r="L42" s="404"/>
      <c r="M42" s="404"/>
      <c r="N42" s="405"/>
      <c r="O42" s="406" t="s">
        <v>2842</v>
      </c>
      <c r="P42" s="370"/>
      <c r="Q42" s="370"/>
      <c r="R42" s="370"/>
      <c r="S42" s="434"/>
    </row>
    <row r="43" ht="33" customHeight="1" spans="2:19">
      <c r="B43" s="373"/>
      <c r="C43" s="379" t="s">
        <v>2843</v>
      </c>
      <c r="D43" s="380" t="s">
        <v>2835</v>
      </c>
      <c r="E43" s="376" t="s">
        <v>2852</v>
      </c>
      <c r="F43" s="381" t="s">
        <v>2837</v>
      </c>
      <c r="G43" s="375" t="s">
        <v>2844</v>
      </c>
      <c r="H43" s="375" t="s">
        <v>2845</v>
      </c>
      <c r="I43" s="375" t="s">
        <v>2104</v>
      </c>
      <c r="J43" s="375" t="s">
        <v>2104</v>
      </c>
      <c r="K43" s="416" t="s">
        <v>2846</v>
      </c>
      <c r="L43" s="417"/>
      <c r="M43" s="417"/>
      <c r="N43" s="418"/>
      <c r="O43" s="419" t="s">
        <v>2847</v>
      </c>
      <c r="P43" s="370"/>
      <c r="Q43" s="370"/>
      <c r="R43" s="370"/>
      <c r="S43" s="434"/>
    </row>
    <row r="44" ht="15.6" spans="2:19">
      <c r="B44" s="373"/>
      <c r="C44" s="379" t="s">
        <v>2853</v>
      </c>
      <c r="D44" s="382"/>
      <c r="E44" s="376"/>
      <c r="F44" s="383" t="s">
        <v>2854</v>
      </c>
      <c r="G44" s="375" t="s">
        <v>2855</v>
      </c>
      <c r="H44" s="375" t="s">
        <v>2839</v>
      </c>
      <c r="I44" s="384" t="s">
        <v>2840</v>
      </c>
      <c r="J44" s="384" t="s">
        <v>2840</v>
      </c>
      <c r="K44" s="382"/>
      <c r="L44" s="420"/>
      <c r="M44" s="420"/>
      <c r="N44" s="421"/>
      <c r="O44" s="406"/>
      <c r="P44" s="422"/>
      <c r="Q44" s="422"/>
      <c r="R44" s="422"/>
      <c r="S44" s="435"/>
    </row>
    <row r="45" ht="16.5" customHeight="1" spans="2:19">
      <c r="B45" s="373"/>
      <c r="C45" s="375" t="s">
        <v>2856</v>
      </c>
      <c r="D45" s="375" t="s">
        <v>2857</v>
      </c>
      <c r="E45" s="384" t="s">
        <v>2792</v>
      </c>
      <c r="F45" s="375" t="s">
        <v>2837</v>
      </c>
      <c r="G45" s="375" t="s">
        <v>2858</v>
      </c>
      <c r="H45" s="375" t="s">
        <v>1971</v>
      </c>
      <c r="I45" s="375" t="s">
        <v>2840</v>
      </c>
      <c r="J45" s="375" t="s">
        <v>2840</v>
      </c>
      <c r="K45" s="407" t="s">
        <v>2859</v>
      </c>
      <c r="L45" s="408"/>
      <c r="M45" s="408"/>
      <c r="N45" s="409"/>
      <c r="O45" s="410" t="s">
        <v>2860</v>
      </c>
      <c r="P45" s="370"/>
      <c r="Q45" s="370"/>
      <c r="R45" s="370"/>
      <c r="S45" s="434"/>
    </row>
    <row r="46" ht="33" customHeight="1" spans="2:19">
      <c r="B46" s="373"/>
      <c r="C46" s="385" t="s">
        <v>2848</v>
      </c>
      <c r="D46" s="385" t="s">
        <v>2835</v>
      </c>
      <c r="E46" s="385" t="s">
        <v>2861</v>
      </c>
      <c r="F46" s="385" t="s">
        <v>2837</v>
      </c>
      <c r="G46" s="385" t="s">
        <v>2849</v>
      </c>
      <c r="H46" s="385" t="s">
        <v>2850</v>
      </c>
      <c r="I46" s="423" t="s">
        <v>2104</v>
      </c>
      <c r="J46" s="423" t="s">
        <v>2104</v>
      </c>
      <c r="K46" s="424" t="s">
        <v>2851</v>
      </c>
      <c r="L46" s="425"/>
      <c r="M46" s="425"/>
      <c r="N46" s="426"/>
      <c r="O46" s="410" t="s">
        <v>2847</v>
      </c>
      <c r="P46" s="370"/>
      <c r="Q46" s="370"/>
      <c r="R46" s="370"/>
      <c r="S46" s="434"/>
    </row>
    <row r="47" ht="33" customHeight="1" spans="2:19">
      <c r="B47" s="386"/>
      <c r="C47" s="376" t="s">
        <v>2862</v>
      </c>
      <c r="D47" s="376" t="s">
        <v>2835</v>
      </c>
      <c r="E47" s="376" t="s">
        <v>2764</v>
      </c>
      <c r="F47" s="376" t="s">
        <v>2837</v>
      </c>
      <c r="G47" s="376" t="s">
        <v>2849</v>
      </c>
      <c r="H47" s="376" t="s">
        <v>2863</v>
      </c>
      <c r="I47" s="376" t="s">
        <v>2704</v>
      </c>
      <c r="J47" s="376" t="s">
        <v>2704</v>
      </c>
      <c r="K47" s="427" t="s">
        <v>2864</v>
      </c>
      <c r="L47" s="427"/>
      <c r="M47" s="427"/>
      <c r="N47" s="427"/>
      <c r="O47" s="428" t="s">
        <v>2847</v>
      </c>
      <c r="P47" s="422"/>
      <c r="Q47" s="422"/>
      <c r="R47" s="422"/>
      <c r="S47" s="435"/>
    </row>
    <row r="48" ht="33" customHeight="1" spans="2:19">
      <c r="B48" s="386"/>
      <c r="C48" s="376" t="s">
        <v>2865</v>
      </c>
      <c r="D48" s="376" t="s">
        <v>2835</v>
      </c>
      <c r="E48" s="376" t="s">
        <v>2764</v>
      </c>
      <c r="F48" s="376" t="s">
        <v>2866</v>
      </c>
      <c r="G48" s="376" t="s">
        <v>2867</v>
      </c>
      <c r="H48" s="376" t="s">
        <v>2868</v>
      </c>
      <c r="I48" s="384" t="s">
        <v>2840</v>
      </c>
      <c r="J48" s="384" t="s">
        <v>2840</v>
      </c>
      <c r="K48" s="427" t="s">
        <v>2869</v>
      </c>
      <c r="L48" s="427"/>
      <c r="M48" s="427"/>
      <c r="N48" s="427"/>
      <c r="O48" s="428"/>
      <c r="P48" s="422"/>
      <c r="Q48" s="422"/>
      <c r="R48" s="422"/>
      <c r="S48" s="435"/>
    </row>
    <row r="49" ht="33.75" customHeight="1" spans="2:19">
      <c r="B49" s="387"/>
      <c r="C49" s="388" t="s">
        <v>2870</v>
      </c>
      <c r="D49" s="388" t="s">
        <v>2835</v>
      </c>
      <c r="E49" s="388" t="s">
        <v>2814</v>
      </c>
      <c r="F49" s="388" t="s">
        <v>2835</v>
      </c>
      <c r="G49" s="388" t="s">
        <v>2871</v>
      </c>
      <c r="H49" s="388" t="s">
        <v>2872</v>
      </c>
      <c r="I49" s="388" t="s">
        <v>2104</v>
      </c>
      <c r="J49" s="388" t="s">
        <v>2104</v>
      </c>
      <c r="K49" s="429" t="s">
        <v>2873</v>
      </c>
      <c r="L49" s="430"/>
      <c r="M49" s="430"/>
      <c r="N49" s="431"/>
      <c r="O49" s="432" t="s">
        <v>2847</v>
      </c>
      <c r="P49" s="370"/>
      <c r="Q49" s="370"/>
      <c r="R49" s="370"/>
      <c r="S49" s="434"/>
    </row>
    <row r="50" ht="17.1" spans="2:19">
      <c r="B50" s="369"/>
      <c r="C50" s="370"/>
      <c r="D50" s="370"/>
      <c r="E50" s="370"/>
      <c r="F50" s="370"/>
      <c r="G50" s="370"/>
      <c r="H50" s="370"/>
      <c r="I50" s="370"/>
      <c r="J50" s="370"/>
      <c r="K50" s="370"/>
      <c r="L50" s="370"/>
      <c r="M50" s="370"/>
      <c r="N50" s="370"/>
      <c r="O50" s="370"/>
      <c r="P50" s="370"/>
      <c r="Q50" s="370"/>
      <c r="R50" s="370"/>
      <c r="S50" s="434"/>
    </row>
    <row r="51" ht="16.35" spans="2:19">
      <c r="B51" s="389" t="s">
        <v>2874</v>
      </c>
      <c r="C51" s="390" t="s">
        <v>2875</v>
      </c>
      <c r="D51" s="390"/>
      <c r="E51" s="390"/>
      <c r="F51" s="390"/>
      <c r="G51" s="390"/>
      <c r="H51" s="390"/>
      <c r="I51" s="390"/>
      <c r="J51" s="390"/>
      <c r="K51" s="390"/>
      <c r="L51" s="370"/>
      <c r="M51" s="370"/>
      <c r="N51" s="370"/>
      <c r="O51" s="370"/>
      <c r="P51" s="370"/>
      <c r="Q51" s="370"/>
      <c r="R51" s="370"/>
      <c r="S51" s="434"/>
    </row>
    <row r="52" ht="15.6" spans="2:19">
      <c r="B52" s="391"/>
      <c r="C52" s="392"/>
      <c r="D52" s="392"/>
      <c r="E52" s="392"/>
      <c r="F52" s="392"/>
      <c r="G52" s="392"/>
      <c r="H52" s="392"/>
      <c r="I52" s="392"/>
      <c r="J52" s="392"/>
      <c r="K52" s="392"/>
      <c r="L52" s="370"/>
      <c r="M52" s="370"/>
      <c r="N52" s="370"/>
      <c r="O52" s="370"/>
      <c r="P52" s="370"/>
      <c r="Q52" s="370"/>
      <c r="R52" s="370"/>
      <c r="S52" s="434"/>
    </row>
    <row r="53" ht="15.6" spans="2:19">
      <c r="B53" s="391"/>
      <c r="C53" s="392"/>
      <c r="D53" s="392"/>
      <c r="E53" s="392"/>
      <c r="F53" s="392"/>
      <c r="G53" s="392"/>
      <c r="H53" s="392"/>
      <c r="I53" s="392"/>
      <c r="J53" s="392"/>
      <c r="K53" s="392"/>
      <c r="L53" s="370"/>
      <c r="M53" s="370"/>
      <c r="N53" s="370"/>
      <c r="O53" s="370"/>
      <c r="P53" s="370"/>
      <c r="Q53" s="370"/>
      <c r="R53" s="370"/>
      <c r="S53" s="434"/>
    </row>
    <row r="54" ht="15.6" spans="2:19">
      <c r="B54" s="391"/>
      <c r="C54" s="392"/>
      <c r="D54" s="392"/>
      <c r="E54" s="392"/>
      <c r="F54" s="392"/>
      <c r="G54" s="392"/>
      <c r="H54" s="392"/>
      <c r="I54" s="392"/>
      <c r="J54" s="392"/>
      <c r="K54" s="392"/>
      <c r="L54" s="370"/>
      <c r="M54" s="370"/>
      <c r="N54" s="370"/>
      <c r="O54" s="370"/>
      <c r="P54" s="370"/>
      <c r="Q54" s="370"/>
      <c r="R54" s="370"/>
      <c r="S54" s="434"/>
    </row>
    <row r="55" ht="15.6" spans="2:19">
      <c r="B55" s="391"/>
      <c r="C55" s="392"/>
      <c r="D55" s="392"/>
      <c r="E55" s="392"/>
      <c r="F55" s="392"/>
      <c r="G55" s="392"/>
      <c r="H55" s="392"/>
      <c r="I55" s="392"/>
      <c r="J55" s="392"/>
      <c r="K55" s="392"/>
      <c r="L55" s="370"/>
      <c r="M55" s="370"/>
      <c r="N55" s="370"/>
      <c r="O55" s="370"/>
      <c r="P55" s="370"/>
      <c r="Q55" s="370"/>
      <c r="R55" s="370"/>
      <c r="S55" s="434"/>
    </row>
    <row r="56" ht="15.6" spans="2:19">
      <c r="B56" s="391"/>
      <c r="C56" s="392"/>
      <c r="D56" s="392"/>
      <c r="E56" s="392"/>
      <c r="F56" s="392"/>
      <c r="G56" s="392"/>
      <c r="H56" s="392"/>
      <c r="I56" s="392"/>
      <c r="J56" s="392"/>
      <c r="K56" s="392"/>
      <c r="L56" s="370"/>
      <c r="M56" s="370"/>
      <c r="N56" s="370"/>
      <c r="O56" s="370"/>
      <c r="P56" s="370"/>
      <c r="Q56" s="370"/>
      <c r="R56" s="370"/>
      <c r="S56" s="434"/>
    </row>
    <row r="57" ht="15.6" spans="2:19">
      <c r="B57" s="391"/>
      <c r="C57" s="392"/>
      <c r="D57" s="392"/>
      <c r="E57" s="392"/>
      <c r="F57" s="392"/>
      <c r="G57" s="392"/>
      <c r="H57" s="392"/>
      <c r="I57" s="392"/>
      <c r="J57" s="392"/>
      <c r="K57" s="392"/>
      <c r="L57" s="370"/>
      <c r="M57" s="370"/>
      <c r="N57" s="370"/>
      <c r="O57" s="370"/>
      <c r="P57" s="370"/>
      <c r="Q57" s="370"/>
      <c r="R57" s="370"/>
      <c r="S57" s="434"/>
    </row>
    <row r="58" ht="15.6" spans="2:19">
      <c r="B58" s="391"/>
      <c r="C58" s="392"/>
      <c r="D58" s="392"/>
      <c r="E58" s="392"/>
      <c r="F58" s="392"/>
      <c r="G58" s="392"/>
      <c r="H58" s="392"/>
      <c r="I58" s="392"/>
      <c r="J58" s="392"/>
      <c r="K58" s="392"/>
      <c r="L58" s="370"/>
      <c r="M58" s="370"/>
      <c r="N58" s="370"/>
      <c r="O58" s="370"/>
      <c r="P58" s="370"/>
      <c r="Q58" s="370"/>
      <c r="R58" s="370"/>
      <c r="S58" s="434"/>
    </row>
    <row r="59" ht="15.6" spans="2:19">
      <c r="B59" s="391"/>
      <c r="C59" s="392"/>
      <c r="D59" s="392"/>
      <c r="E59" s="392"/>
      <c r="F59" s="392"/>
      <c r="G59" s="392"/>
      <c r="H59" s="392"/>
      <c r="I59" s="392"/>
      <c r="J59" s="392"/>
      <c r="K59" s="392"/>
      <c r="L59" s="370"/>
      <c r="M59" s="370"/>
      <c r="N59" s="370"/>
      <c r="O59" s="370"/>
      <c r="P59" s="370"/>
      <c r="Q59" s="370"/>
      <c r="R59" s="370"/>
      <c r="S59" s="434"/>
    </row>
    <row r="60" ht="15.6" spans="2:19">
      <c r="B60" s="391"/>
      <c r="C60" s="392"/>
      <c r="D60" s="392"/>
      <c r="E60" s="392"/>
      <c r="F60" s="392"/>
      <c r="G60" s="392"/>
      <c r="H60" s="392"/>
      <c r="I60" s="392"/>
      <c r="J60" s="392"/>
      <c r="K60" s="392"/>
      <c r="L60" s="370"/>
      <c r="M60" s="370"/>
      <c r="N60" s="370"/>
      <c r="O60" s="370"/>
      <c r="P60" s="370"/>
      <c r="Q60" s="370"/>
      <c r="R60" s="370"/>
      <c r="S60" s="436" t="s">
        <v>2876</v>
      </c>
    </row>
    <row r="61" ht="15.6" spans="2:19">
      <c r="B61" s="369"/>
      <c r="C61" s="370"/>
      <c r="D61" s="370"/>
      <c r="E61" s="370"/>
      <c r="F61" s="370"/>
      <c r="G61" s="370"/>
      <c r="H61" s="370"/>
      <c r="I61" s="370"/>
      <c r="J61" s="370"/>
      <c r="K61" s="370"/>
      <c r="L61" s="370"/>
      <c r="M61" s="370"/>
      <c r="N61" s="370"/>
      <c r="O61" s="370"/>
      <c r="P61" s="370"/>
      <c r="Q61" s="370"/>
      <c r="R61" s="370"/>
      <c r="S61" s="434"/>
    </row>
    <row r="62" ht="16.35" spans="2:19">
      <c r="B62" s="393"/>
      <c r="C62" s="394"/>
      <c r="D62" s="394"/>
      <c r="E62" s="394"/>
      <c r="F62" s="394"/>
      <c r="G62" s="394"/>
      <c r="H62" s="394"/>
      <c r="I62" s="394"/>
      <c r="J62" s="394"/>
      <c r="K62" s="394"/>
      <c r="L62" s="394"/>
      <c r="M62" s="394"/>
      <c r="N62" s="394"/>
      <c r="O62" s="394"/>
      <c r="P62" s="394"/>
      <c r="Q62" s="394"/>
      <c r="R62" s="394"/>
      <c r="S62" s="437"/>
    </row>
    <row r="63" ht="15.15"/>
  </sheetData>
  <mergeCells count="30">
    <mergeCell ref="C7:L7"/>
    <mergeCell ref="G20:H20"/>
    <mergeCell ref="I20:J20"/>
    <mergeCell ref="K20:L20"/>
    <mergeCell ref="M20:N20"/>
    <mergeCell ref="O20:P20"/>
    <mergeCell ref="Q20:R20"/>
    <mergeCell ref="K38:N38"/>
    <mergeCell ref="K39:N39"/>
    <mergeCell ref="K40:N40"/>
    <mergeCell ref="K41:N41"/>
    <mergeCell ref="K42:N42"/>
    <mergeCell ref="K45:N45"/>
    <mergeCell ref="K46:N46"/>
    <mergeCell ref="K47:N47"/>
    <mergeCell ref="K48:N48"/>
    <mergeCell ref="K49:N49"/>
    <mergeCell ref="B20:B21"/>
    <mergeCell ref="B39:B41"/>
    <mergeCell ref="B42:B49"/>
    <mergeCell ref="B51:B60"/>
    <mergeCell ref="C20:C21"/>
    <mergeCell ref="D20:D21"/>
    <mergeCell ref="D43:D44"/>
    <mergeCell ref="E20:E21"/>
    <mergeCell ref="E43:E44"/>
    <mergeCell ref="F20:F21"/>
    <mergeCell ref="O43:O44"/>
    <mergeCell ref="K43:N44"/>
    <mergeCell ref="C51:K60"/>
  </mergeCells>
  <pageMargins left="0.7" right="0.7" top="0.75" bottom="0.75" header="0.3" footer="0.3"/>
  <headerFooter/>
  <drawing r:id="rId2"/>
  <legacy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4"/>
  <sheetViews>
    <sheetView topLeftCell="A16" workbookViewId="0">
      <selection activeCell="A20" sqref="A20"/>
    </sheetView>
  </sheetViews>
  <sheetFormatPr defaultColWidth="9" defaultRowHeight="14.4"/>
  <cols>
    <col min="1" max="1" width="15" customWidth="1"/>
    <col min="2" max="2" width="8.88888888888889" customWidth="1"/>
    <col min="3" max="3" width="8" customWidth="1"/>
    <col min="5" max="5" width="11.7777777777778" customWidth="1"/>
    <col min="7" max="7" width="11.7777777777778" customWidth="1"/>
    <col min="8" max="8" width="9.77777777777778" customWidth="1"/>
    <col min="9" max="9" width="22.8888888888889" customWidth="1"/>
    <col min="11" max="11" width="25.6666666666667" customWidth="1"/>
  </cols>
  <sheetData>
    <row r="1" ht="18.15" spans="1:12">
      <c r="A1" s="244" t="s">
        <v>67</v>
      </c>
      <c r="B1" s="247" t="s">
        <v>443</v>
      </c>
      <c r="C1" s="247" t="s">
        <v>2877</v>
      </c>
      <c r="D1" s="245" t="s">
        <v>1286</v>
      </c>
      <c r="E1" s="245"/>
      <c r="F1" s="245" t="s">
        <v>1287</v>
      </c>
      <c r="G1" s="245"/>
      <c r="H1" s="245" t="s">
        <v>1288</v>
      </c>
      <c r="I1" s="245"/>
      <c r="J1" s="245" t="s">
        <v>91</v>
      </c>
      <c r="K1" s="245" t="s">
        <v>1291</v>
      </c>
      <c r="L1" s="264" t="s">
        <v>1292</v>
      </c>
    </row>
    <row r="2" ht="69.6" spans="1:12">
      <c r="A2" s="246"/>
      <c r="B2" s="247"/>
      <c r="C2" s="247"/>
      <c r="D2" s="247" t="s">
        <v>1293</v>
      </c>
      <c r="E2" s="247" t="s">
        <v>1294</v>
      </c>
      <c r="F2" s="247" t="s">
        <v>1287</v>
      </c>
      <c r="G2" s="247" t="s">
        <v>1294</v>
      </c>
      <c r="H2" s="247" t="s">
        <v>1288</v>
      </c>
      <c r="I2" s="247" t="s">
        <v>1294</v>
      </c>
      <c r="J2" s="247"/>
      <c r="K2" s="247"/>
      <c r="L2" s="266"/>
    </row>
    <row r="3" ht="52.2" spans="1:12">
      <c r="A3" s="279" t="s">
        <v>2878</v>
      </c>
      <c r="B3" s="311" t="s">
        <v>2879</v>
      </c>
      <c r="C3" s="281">
        <v>0.065</v>
      </c>
      <c r="D3" s="282">
        <v>1600</v>
      </c>
      <c r="E3" s="281" t="s">
        <v>2880</v>
      </c>
      <c r="F3" s="282" t="s">
        <v>2881</v>
      </c>
      <c r="G3" s="281" t="s">
        <v>2882</v>
      </c>
      <c r="H3" s="282" t="s">
        <v>2883</v>
      </c>
      <c r="I3" s="281" t="s">
        <v>2884</v>
      </c>
      <c r="J3" s="282" t="s">
        <v>2885</v>
      </c>
      <c r="K3" s="335" t="s">
        <v>2886</v>
      </c>
      <c r="L3" s="336" t="s">
        <v>1317</v>
      </c>
    </row>
    <row r="4" ht="52.2" spans="1:12">
      <c r="A4" s="279" t="s">
        <v>2887</v>
      </c>
      <c r="B4" s="312"/>
      <c r="C4" s="281">
        <v>0.06</v>
      </c>
      <c r="D4" s="282">
        <v>1400</v>
      </c>
      <c r="E4" s="282" t="s">
        <v>2880</v>
      </c>
      <c r="F4" s="282" t="s">
        <v>2881</v>
      </c>
      <c r="G4" s="281" t="s">
        <v>2882</v>
      </c>
      <c r="H4" s="282" t="s">
        <v>2888</v>
      </c>
      <c r="I4" s="281" t="s">
        <v>2884</v>
      </c>
      <c r="J4" s="281" t="s">
        <v>2889</v>
      </c>
      <c r="K4" s="337"/>
      <c r="L4" s="336" t="s">
        <v>1317</v>
      </c>
    </row>
    <row r="5" ht="52.2" spans="1:12">
      <c r="A5" s="313" t="s">
        <v>2890</v>
      </c>
      <c r="B5" s="312"/>
      <c r="C5" s="314">
        <v>0.06</v>
      </c>
      <c r="D5" s="282">
        <v>1800</v>
      </c>
      <c r="E5" s="282" t="s">
        <v>2880</v>
      </c>
      <c r="F5" s="282" t="s">
        <v>2891</v>
      </c>
      <c r="G5" s="281" t="s">
        <v>2882</v>
      </c>
      <c r="H5" s="282" t="s">
        <v>2888</v>
      </c>
      <c r="I5" s="281" t="s">
        <v>2884</v>
      </c>
      <c r="J5" s="281" t="s">
        <v>2885</v>
      </c>
      <c r="K5" s="337"/>
      <c r="L5" s="336" t="s">
        <v>1317</v>
      </c>
    </row>
    <row r="6" ht="52.2" spans="1:12">
      <c r="A6" s="315" t="s">
        <v>2892</v>
      </c>
      <c r="B6" s="316"/>
      <c r="C6" s="314">
        <v>0.06</v>
      </c>
      <c r="D6" s="282">
        <v>2000</v>
      </c>
      <c r="E6" s="282" t="s">
        <v>2880</v>
      </c>
      <c r="F6" s="282" t="s">
        <v>2891</v>
      </c>
      <c r="G6" s="281" t="s">
        <v>2882</v>
      </c>
      <c r="H6" s="282" t="s">
        <v>2888</v>
      </c>
      <c r="I6" s="281" t="s">
        <v>2884</v>
      </c>
      <c r="J6" s="281" t="s">
        <v>2889</v>
      </c>
      <c r="K6" s="338"/>
      <c r="L6" s="336" t="s">
        <v>1317</v>
      </c>
    </row>
    <row r="7" ht="17.4" spans="1:12">
      <c r="A7" s="317" t="s">
        <v>2893</v>
      </c>
      <c r="B7" s="318" t="s">
        <v>2894</v>
      </c>
      <c r="C7" s="319" t="s">
        <v>2895</v>
      </c>
      <c r="D7" s="282" t="s">
        <v>2896</v>
      </c>
      <c r="E7" s="282" t="s">
        <v>2897</v>
      </c>
      <c r="F7" s="282" t="s">
        <v>104</v>
      </c>
      <c r="G7" s="281" t="s">
        <v>104</v>
      </c>
      <c r="H7" s="282" t="s">
        <v>104</v>
      </c>
      <c r="I7" s="281" t="s">
        <v>104</v>
      </c>
      <c r="J7" s="281" t="s">
        <v>2885</v>
      </c>
      <c r="K7" s="339" t="s">
        <v>2898</v>
      </c>
      <c r="L7" s="336" t="s">
        <v>1317</v>
      </c>
    </row>
    <row r="8" ht="52.2" spans="1:12">
      <c r="A8" s="320" t="s">
        <v>2899</v>
      </c>
      <c r="B8" s="321"/>
      <c r="C8" s="251">
        <v>0.06</v>
      </c>
      <c r="D8" s="251">
        <v>1400</v>
      </c>
      <c r="E8" s="251" t="s">
        <v>2897</v>
      </c>
      <c r="F8" s="251" t="s">
        <v>2900</v>
      </c>
      <c r="G8" s="251" t="s">
        <v>2901</v>
      </c>
      <c r="H8" s="251" t="s">
        <v>2888</v>
      </c>
      <c r="I8" s="251" t="s">
        <v>2902</v>
      </c>
      <c r="J8" s="251" t="s">
        <v>2889</v>
      </c>
      <c r="K8" s="251"/>
      <c r="L8" s="340" t="s">
        <v>1317</v>
      </c>
    </row>
    <row r="9" ht="52.2" spans="1:12">
      <c r="A9" s="317" t="s">
        <v>2903</v>
      </c>
      <c r="B9" s="322" t="s">
        <v>2292</v>
      </c>
      <c r="C9" s="282">
        <v>0.065</v>
      </c>
      <c r="D9" s="282">
        <v>1400</v>
      </c>
      <c r="E9" s="282" t="s">
        <v>104</v>
      </c>
      <c r="F9" s="282" t="s">
        <v>104</v>
      </c>
      <c r="G9" s="282" t="s">
        <v>104</v>
      </c>
      <c r="H9" s="282" t="s">
        <v>2904</v>
      </c>
      <c r="I9" s="282" t="s">
        <v>104</v>
      </c>
      <c r="J9" s="282" t="s">
        <v>2889</v>
      </c>
      <c r="K9" s="282" t="s">
        <v>2898</v>
      </c>
      <c r="L9" s="336" t="s">
        <v>1317</v>
      </c>
    </row>
    <row r="10" ht="104.4" spans="1:12">
      <c r="A10" s="317" t="s">
        <v>2905</v>
      </c>
      <c r="B10" s="323" t="s">
        <v>2906</v>
      </c>
      <c r="C10" s="282">
        <v>0.05</v>
      </c>
      <c r="D10" s="282" t="s">
        <v>2907</v>
      </c>
      <c r="E10" s="282" t="s">
        <v>2908</v>
      </c>
      <c r="F10" s="282" t="s">
        <v>2909</v>
      </c>
      <c r="G10" s="282" t="s">
        <v>2910</v>
      </c>
      <c r="H10" s="282" t="s">
        <v>2911</v>
      </c>
      <c r="I10" s="282" t="s">
        <v>104</v>
      </c>
      <c r="J10" s="282" t="s">
        <v>2885</v>
      </c>
      <c r="K10" s="282" t="s">
        <v>2912</v>
      </c>
      <c r="L10" s="340" t="s">
        <v>1317</v>
      </c>
    </row>
    <row r="11" ht="69.6" spans="1:12">
      <c r="A11" s="320" t="s">
        <v>2913</v>
      </c>
      <c r="B11" s="324" t="s">
        <v>2914</v>
      </c>
      <c r="C11" s="325">
        <v>0.06</v>
      </c>
      <c r="D11" s="251">
        <v>1400</v>
      </c>
      <c r="E11" s="251" t="s">
        <v>2915</v>
      </c>
      <c r="F11" s="251" t="s">
        <v>2916</v>
      </c>
      <c r="G11" s="251" t="s">
        <v>2917</v>
      </c>
      <c r="H11" s="251" t="s">
        <v>2918</v>
      </c>
      <c r="I11" s="251" t="s">
        <v>2919</v>
      </c>
      <c r="J11" s="251" t="s">
        <v>2920</v>
      </c>
      <c r="K11" s="251" t="s">
        <v>2921</v>
      </c>
      <c r="L11" s="340" t="s">
        <v>2922</v>
      </c>
    </row>
    <row r="12" ht="87" spans="1:12">
      <c r="A12" s="320" t="s">
        <v>2923</v>
      </c>
      <c r="B12" s="324"/>
      <c r="C12" s="325">
        <v>0.055</v>
      </c>
      <c r="D12" s="251">
        <v>1500</v>
      </c>
      <c r="E12" s="251" t="s">
        <v>2915</v>
      </c>
      <c r="F12" s="251" t="s">
        <v>2916</v>
      </c>
      <c r="G12" s="251" t="s">
        <v>2917</v>
      </c>
      <c r="H12" s="251" t="s">
        <v>2918</v>
      </c>
      <c r="I12" s="251" t="s">
        <v>2919</v>
      </c>
      <c r="J12" s="251" t="s">
        <v>2920</v>
      </c>
      <c r="K12" s="251" t="s">
        <v>2924</v>
      </c>
      <c r="L12" s="340" t="s">
        <v>2922</v>
      </c>
    </row>
    <row r="13" ht="52.2" spans="1:12">
      <c r="A13" s="320" t="s">
        <v>1262</v>
      </c>
      <c r="B13" s="326" t="s">
        <v>1255</v>
      </c>
      <c r="C13" s="327">
        <v>0.058</v>
      </c>
      <c r="D13" s="251">
        <v>1850</v>
      </c>
      <c r="E13" s="251" t="s">
        <v>2880</v>
      </c>
      <c r="F13" s="251">
        <v>0</v>
      </c>
      <c r="G13" s="251" t="s">
        <v>2925</v>
      </c>
      <c r="H13" s="251" t="s">
        <v>2926</v>
      </c>
      <c r="I13" s="341" t="s">
        <v>2927</v>
      </c>
      <c r="J13" s="251" t="s">
        <v>2885</v>
      </c>
      <c r="K13" s="251"/>
      <c r="L13" s="340" t="s">
        <v>1280</v>
      </c>
    </row>
    <row r="14" ht="52.2" spans="1:12">
      <c r="A14" s="328" t="s">
        <v>1265</v>
      </c>
      <c r="B14" s="329"/>
      <c r="C14" s="330" t="s">
        <v>2928</v>
      </c>
      <c r="D14" s="289">
        <v>1750</v>
      </c>
      <c r="E14" s="289" t="s">
        <v>2880</v>
      </c>
      <c r="F14" s="289">
        <v>0</v>
      </c>
      <c r="G14" s="289" t="s">
        <v>2882</v>
      </c>
      <c r="H14" s="289" t="s">
        <v>2926</v>
      </c>
      <c r="I14" s="342" t="s">
        <v>2927</v>
      </c>
      <c r="J14" s="289" t="s">
        <v>2885</v>
      </c>
      <c r="K14" s="289" t="s">
        <v>2929</v>
      </c>
      <c r="L14" s="343" t="s">
        <v>1317</v>
      </c>
    </row>
    <row r="15" ht="52.2" spans="1:12">
      <c r="A15" s="328" t="s">
        <v>1267</v>
      </c>
      <c r="B15" s="329"/>
      <c r="C15" s="330" t="s">
        <v>2930</v>
      </c>
      <c r="D15" s="289">
        <v>1600</v>
      </c>
      <c r="E15" s="289" t="s">
        <v>2880</v>
      </c>
      <c r="F15" s="289">
        <v>0</v>
      </c>
      <c r="G15" s="289" t="s">
        <v>2882</v>
      </c>
      <c r="H15" s="289" t="s">
        <v>2931</v>
      </c>
      <c r="I15" s="342" t="s">
        <v>2927</v>
      </c>
      <c r="J15" s="289" t="s">
        <v>2885</v>
      </c>
      <c r="K15" s="289" t="s">
        <v>2932</v>
      </c>
      <c r="L15" s="343" t="s">
        <v>2933</v>
      </c>
    </row>
    <row r="16" ht="69.6" spans="1:12">
      <c r="A16" s="317" t="s">
        <v>2934</v>
      </c>
      <c r="B16" s="331" t="s">
        <v>1355</v>
      </c>
      <c r="C16" s="319" t="s">
        <v>2930</v>
      </c>
      <c r="D16" s="282">
        <v>1800</v>
      </c>
      <c r="E16" s="282" t="s">
        <v>2880</v>
      </c>
      <c r="F16" s="282" t="s">
        <v>2881</v>
      </c>
      <c r="G16" s="282" t="s">
        <v>2882</v>
      </c>
      <c r="H16" s="282" t="s">
        <v>2935</v>
      </c>
      <c r="I16" s="344" t="s">
        <v>2927</v>
      </c>
      <c r="J16" s="282" t="s">
        <v>2889</v>
      </c>
      <c r="K16" s="335" t="s">
        <v>2936</v>
      </c>
      <c r="L16" s="336" t="s">
        <v>1280</v>
      </c>
    </row>
    <row r="17" ht="69.6" spans="1:12">
      <c r="A17" s="317" t="s">
        <v>2937</v>
      </c>
      <c r="B17" s="332"/>
      <c r="C17" s="319" t="s">
        <v>2938</v>
      </c>
      <c r="D17" s="282">
        <v>1800</v>
      </c>
      <c r="E17" s="282" t="s">
        <v>2880</v>
      </c>
      <c r="F17" s="282" t="s">
        <v>2939</v>
      </c>
      <c r="G17" s="282" t="s">
        <v>2882</v>
      </c>
      <c r="H17" s="282" t="s">
        <v>2940</v>
      </c>
      <c r="I17" s="344" t="s">
        <v>2927</v>
      </c>
      <c r="J17" s="282" t="s">
        <v>2889</v>
      </c>
      <c r="K17" s="338"/>
      <c r="L17" s="336" t="s">
        <v>1280</v>
      </c>
    </row>
    <row r="18" ht="69.6" spans="1:12">
      <c r="A18" s="320" t="s">
        <v>2941</v>
      </c>
      <c r="B18" s="333" t="s">
        <v>1352</v>
      </c>
      <c r="C18" s="251">
        <v>0.06</v>
      </c>
      <c r="D18" s="251" t="s">
        <v>2896</v>
      </c>
      <c r="E18" s="251" t="s">
        <v>2942</v>
      </c>
      <c r="F18" s="251" t="s">
        <v>2943</v>
      </c>
      <c r="G18" s="251" t="s">
        <v>2944</v>
      </c>
      <c r="H18" s="251" t="s">
        <v>2945</v>
      </c>
      <c r="I18" s="251" t="s">
        <v>2946</v>
      </c>
      <c r="J18" s="251" t="s">
        <v>2889</v>
      </c>
      <c r="K18" s="251"/>
      <c r="L18" s="340" t="s">
        <v>1317</v>
      </c>
    </row>
    <row r="19" ht="52.2" spans="1:12">
      <c r="A19" s="328" t="s">
        <v>2947</v>
      </c>
      <c r="B19" s="334" t="s">
        <v>2948</v>
      </c>
      <c r="C19" s="289">
        <v>0.055</v>
      </c>
      <c r="D19" s="289">
        <v>1294</v>
      </c>
      <c r="E19" s="289" t="s">
        <v>2880</v>
      </c>
      <c r="F19" s="289">
        <v>0</v>
      </c>
      <c r="G19" s="289" t="s">
        <v>2882</v>
      </c>
      <c r="H19" s="289" t="s">
        <v>2949</v>
      </c>
      <c r="I19" s="289" t="s">
        <v>2927</v>
      </c>
      <c r="J19" s="289" t="s">
        <v>2885</v>
      </c>
      <c r="K19" s="289"/>
      <c r="L19" s="343" t="s">
        <v>1280</v>
      </c>
    </row>
    <row r="20" ht="75" spans="1:12">
      <c r="A20" s="328" t="s">
        <v>1257</v>
      </c>
      <c r="B20" s="334" t="s">
        <v>1258</v>
      </c>
      <c r="C20" s="289">
        <v>0.05</v>
      </c>
      <c r="D20" s="289">
        <v>1418</v>
      </c>
      <c r="E20" s="289" t="s">
        <v>2880</v>
      </c>
      <c r="F20" s="289">
        <v>0</v>
      </c>
      <c r="G20" s="289" t="s">
        <v>2882</v>
      </c>
      <c r="H20" s="289" t="s">
        <v>2950</v>
      </c>
      <c r="I20" s="289" t="s">
        <v>2927</v>
      </c>
      <c r="J20" s="289" t="s">
        <v>1256</v>
      </c>
      <c r="K20" s="345" t="s">
        <v>2951</v>
      </c>
      <c r="L20" s="343" t="s">
        <v>1280</v>
      </c>
    </row>
    <row r="21" ht="17.4" spans="1:12">
      <c r="A21" s="260"/>
      <c r="B21" s="259"/>
      <c r="C21" s="259"/>
      <c r="D21" s="259"/>
      <c r="E21" s="259"/>
      <c r="F21" s="259"/>
      <c r="G21" s="259"/>
      <c r="H21" s="259"/>
      <c r="I21" s="259"/>
      <c r="J21" s="259"/>
      <c r="K21" s="259"/>
      <c r="L21" s="346" t="s">
        <v>2952</v>
      </c>
    </row>
    <row r="22" ht="17.4" spans="1:12">
      <c r="A22" s="260"/>
      <c r="B22" s="259"/>
      <c r="C22" s="259"/>
      <c r="D22" s="259"/>
      <c r="E22" s="259"/>
      <c r="F22" s="259"/>
      <c r="G22" s="259"/>
      <c r="H22" s="259"/>
      <c r="I22" s="259"/>
      <c r="J22" s="259"/>
      <c r="K22" s="259"/>
      <c r="L22" s="273"/>
    </row>
    <row r="23" ht="18.15" spans="1:12">
      <c r="A23" s="261"/>
      <c r="B23" s="262"/>
      <c r="C23" s="262"/>
      <c r="D23" s="262"/>
      <c r="E23" s="262"/>
      <c r="F23" s="262"/>
      <c r="G23" s="262"/>
      <c r="H23" s="262"/>
      <c r="I23" s="262"/>
      <c r="J23" s="262"/>
      <c r="K23" s="262"/>
      <c r="L23" s="274"/>
    </row>
    <row r="24" ht="15.15"/>
  </sheetData>
  <mergeCells count="16">
    <mergeCell ref="D1:E1"/>
    <mergeCell ref="F1:G1"/>
    <mergeCell ref="H1:I1"/>
    <mergeCell ref="A1:A2"/>
    <mergeCell ref="B1:B2"/>
    <mergeCell ref="B3:B6"/>
    <mergeCell ref="B7:B8"/>
    <mergeCell ref="B11:B12"/>
    <mergeCell ref="B13:B15"/>
    <mergeCell ref="B16:B17"/>
    <mergeCell ref="C1:C2"/>
    <mergeCell ref="J1:J2"/>
    <mergeCell ref="K1:K2"/>
    <mergeCell ref="K3:K6"/>
    <mergeCell ref="K16:K17"/>
    <mergeCell ref="L1:L2"/>
  </mergeCells>
  <pageMargins left="0.7" right="0.7" top="0.75" bottom="0.75" header="0.3" footer="0.3"/>
  <headerFooter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8"/>
  <sheetViews>
    <sheetView topLeftCell="A7" workbookViewId="0">
      <selection activeCell="A3" sqref="A1:O26"/>
    </sheetView>
  </sheetViews>
  <sheetFormatPr defaultColWidth="9" defaultRowHeight="14.4"/>
  <cols>
    <col min="1" max="1" width="19.1111111111111" customWidth="1"/>
    <col min="4" max="11" width="21.2222222222222" customWidth="1"/>
    <col min="12" max="12" width="21.6666666666667" customWidth="1"/>
    <col min="13" max="13" width="30.2222222222222" customWidth="1"/>
  </cols>
  <sheetData>
    <row r="1" ht="18.15" spans="1:13">
      <c r="A1" s="275" t="s">
        <v>67</v>
      </c>
      <c r="B1" s="276" t="s">
        <v>443</v>
      </c>
      <c r="C1" s="276" t="s">
        <v>1285</v>
      </c>
      <c r="D1" s="276" t="s">
        <v>1286</v>
      </c>
      <c r="E1" s="276"/>
      <c r="F1" s="276" t="s">
        <v>1287</v>
      </c>
      <c r="G1" s="276"/>
      <c r="H1" s="276" t="s">
        <v>1288</v>
      </c>
      <c r="I1" s="276"/>
      <c r="J1" s="276" t="s">
        <v>2953</v>
      </c>
      <c r="K1" s="297" t="s">
        <v>1322</v>
      </c>
      <c r="L1" s="276" t="s">
        <v>1291</v>
      </c>
      <c r="M1" s="298" t="s">
        <v>1292</v>
      </c>
    </row>
    <row r="2" ht="34.8" spans="1:13">
      <c r="A2" s="277"/>
      <c r="B2" s="278"/>
      <c r="C2" s="278"/>
      <c r="D2" s="278" t="s">
        <v>1293</v>
      </c>
      <c r="E2" s="278" t="s">
        <v>1294</v>
      </c>
      <c r="F2" s="278" t="s">
        <v>1287</v>
      </c>
      <c r="G2" s="278" t="s">
        <v>1294</v>
      </c>
      <c r="H2" s="278" t="s">
        <v>1288</v>
      </c>
      <c r="I2" s="278" t="s">
        <v>1294</v>
      </c>
      <c r="J2" s="278"/>
      <c r="K2" s="299"/>
      <c r="L2" s="278"/>
      <c r="M2" s="300"/>
    </row>
    <row r="3" ht="34.8" spans="1:13">
      <c r="A3" s="279" t="s">
        <v>2954</v>
      </c>
      <c r="B3" s="280" t="s">
        <v>2879</v>
      </c>
      <c r="C3" s="281">
        <v>70</v>
      </c>
      <c r="D3" s="282" t="s">
        <v>2955</v>
      </c>
      <c r="E3" s="281" t="s">
        <v>2880</v>
      </c>
      <c r="F3" s="281" t="s">
        <v>2956</v>
      </c>
      <c r="G3" s="281" t="s">
        <v>2882</v>
      </c>
      <c r="H3" s="282" t="s">
        <v>2883</v>
      </c>
      <c r="I3" s="281" t="s">
        <v>2927</v>
      </c>
      <c r="J3" s="282" t="s">
        <v>2957</v>
      </c>
      <c r="K3" s="282" t="s">
        <v>2958</v>
      </c>
      <c r="L3" s="301" t="s">
        <v>2912</v>
      </c>
      <c r="M3" s="302" t="s">
        <v>2959</v>
      </c>
    </row>
    <row r="4" ht="17.4" spans="1:13">
      <c r="A4" s="279" t="s">
        <v>2960</v>
      </c>
      <c r="B4" s="280"/>
      <c r="C4" s="281">
        <v>40</v>
      </c>
      <c r="D4" s="281" t="s">
        <v>2961</v>
      </c>
      <c r="E4" s="281" t="s">
        <v>2880</v>
      </c>
      <c r="F4" s="281" t="s">
        <v>2956</v>
      </c>
      <c r="G4" s="281" t="s">
        <v>2882</v>
      </c>
      <c r="H4" s="281" t="s">
        <v>2962</v>
      </c>
      <c r="I4" s="281" t="s">
        <v>2337</v>
      </c>
      <c r="J4" s="282" t="s">
        <v>2963</v>
      </c>
      <c r="K4" s="282" t="s">
        <v>2958</v>
      </c>
      <c r="L4" s="303"/>
      <c r="M4" s="302" t="s">
        <v>1280</v>
      </c>
    </row>
    <row r="5" ht="17.4" spans="1:13">
      <c r="A5" s="279" t="s">
        <v>2964</v>
      </c>
      <c r="B5" s="280"/>
      <c r="C5" s="281">
        <v>45</v>
      </c>
      <c r="D5" s="282" t="s">
        <v>2955</v>
      </c>
      <c r="E5" s="281" t="s">
        <v>2880</v>
      </c>
      <c r="F5" s="281" t="s">
        <v>2956</v>
      </c>
      <c r="G5" s="281" t="s">
        <v>2882</v>
      </c>
      <c r="H5" s="281" t="s">
        <v>2962</v>
      </c>
      <c r="I5" s="281" t="s">
        <v>2337</v>
      </c>
      <c r="J5" s="282" t="s">
        <v>2957</v>
      </c>
      <c r="K5" s="282" t="s">
        <v>2958</v>
      </c>
      <c r="L5" s="304"/>
      <c r="M5" s="302" t="s">
        <v>2965</v>
      </c>
    </row>
    <row r="6" ht="17.4" spans="1:13">
      <c r="A6" s="279" t="s">
        <v>2966</v>
      </c>
      <c r="B6" s="283" t="s">
        <v>2292</v>
      </c>
      <c r="C6" s="281">
        <v>40</v>
      </c>
      <c r="D6" s="282">
        <v>1300</v>
      </c>
      <c r="E6" s="282" t="s">
        <v>2967</v>
      </c>
      <c r="F6" s="282" t="s">
        <v>2968</v>
      </c>
      <c r="G6" s="282" t="s">
        <v>2969</v>
      </c>
      <c r="H6" s="282" t="s">
        <v>2970</v>
      </c>
      <c r="I6" s="282" t="s">
        <v>2971</v>
      </c>
      <c r="J6" s="282" t="s">
        <v>2972</v>
      </c>
      <c r="K6" s="305" t="s">
        <v>2973</v>
      </c>
      <c r="L6" s="301" t="s">
        <v>2912</v>
      </c>
      <c r="M6" s="302" t="s">
        <v>1317</v>
      </c>
    </row>
    <row r="7" ht="17.4" spans="1:13">
      <c r="A7" s="284" t="s">
        <v>2974</v>
      </c>
      <c r="B7" s="285"/>
      <c r="C7" s="281">
        <v>35</v>
      </c>
      <c r="D7" s="282">
        <v>1300</v>
      </c>
      <c r="E7" s="282" t="s">
        <v>2967</v>
      </c>
      <c r="F7" s="282" t="s">
        <v>2968</v>
      </c>
      <c r="G7" s="281" t="s">
        <v>2969</v>
      </c>
      <c r="H7" s="282" t="s">
        <v>2970</v>
      </c>
      <c r="I7" s="281" t="s">
        <v>2971</v>
      </c>
      <c r="J7" s="282" t="s">
        <v>2975</v>
      </c>
      <c r="K7" s="305" t="s">
        <v>2973</v>
      </c>
      <c r="L7" s="304"/>
      <c r="M7" s="302" t="s">
        <v>1317</v>
      </c>
    </row>
    <row r="8" ht="52.2" spans="1:13">
      <c r="A8" s="286" t="s">
        <v>2976</v>
      </c>
      <c r="B8" s="287"/>
      <c r="C8" s="288"/>
      <c r="D8" s="289"/>
      <c r="E8" s="289"/>
      <c r="F8" s="289"/>
      <c r="G8" s="289"/>
      <c r="H8" s="289"/>
      <c r="I8" s="289"/>
      <c r="J8" s="289"/>
      <c r="K8" s="289"/>
      <c r="L8" s="289"/>
      <c r="M8" s="306" t="s">
        <v>2977</v>
      </c>
    </row>
    <row r="9" ht="52.2" spans="1:13">
      <c r="A9" s="289" t="s">
        <v>1276</v>
      </c>
      <c r="B9" s="290" t="s">
        <v>1275</v>
      </c>
      <c r="C9" s="289">
        <v>45</v>
      </c>
      <c r="D9" s="289" t="s">
        <v>2978</v>
      </c>
      <c r="E9" s="288" t="s">
        <v>2880</v>
      </c>
      <c r="F9" s="288" t="s">
        <v>2979</v>
      </c>
      <c r="G9" s="288" t="s">
        <v>2882</v>
      </c>
      <c r="H9" s="288" t="s">
        <v>2980</v>
      </c>
      <c r="I9" s="288" t="s">
        <v>2981</v>
      </c>
      <c r="J9" s="289" t="s">
        <v>2982</v>
      </c>
      <c r="K9" s="289" t="s">
        <v>2958</v>
      </c>
      <c r="L9" s="306" t="s">
        <v>2983</v>
      </c>
      <c r="M9" s="307" t="s">
        <v>1280</v>
      </c>
    </row>
    <row r="10" ht="34.8" spans="1:13">
      <c r="A10" s="289" t="s">
        <v>1282</v>
      </c>
      <c r="B10" s="290" t="s">
        <v>1275</v>
      </c>
      <c r="C10" s="289">
        <v>45</v>
      </c>
      <c r="D10" s="289" t="s">
        <v>2978</v>
      </c>
      <c r="E10" s="288" t="s">
        <v>2880</v>
      </c>
      <c r="F10" s="288" t="s">
        <v>2979</v>
      </c>
      <c r="G10" s="288" t="s">
        <v>2882</v>
      </c>
      <c r="H10" s="288" t="s">
        <v>2980</v>
      </c>
      <c r="I10" s="288" t="s">
        <v>2981</v>
      </c>
      <c r="J10" s="289" t="s">
        <v>2982</v>
      </c>
      <c r="K10" s="289" t="s">
        <v>2958</v>
      </c>
      <c r="L10" s="306"/>
      <c r="M10" s="307" t="s">
        <v>1317</v>
      </c>
    </row>
    <row r="11" ht="34.8" spans="1:13">
      <c r="A11" s="289" t="s">
        <v>2984</v>
      </c>
      <c r="B11" s="290" t="s">
        <v>1275</v>
      </c>
      <c r="C11" s="289">
        <v>45</v>
      </c>
      <c r="D11" s="289" t="s">
        <v>2978</v>
      </c>
      <c r="E11" s="288" t="s">
        <v>2880</v>
      </c>
      <c r="F11" s="288" t="s">
        <v>2979</v>
      </c>
      <c r="G11" s="288" t="s">
        <v>2882</v>
      </c>
      <c r="H11" s="288" t="s">
        <v>2985</v>
      </c>
      <c r="I11" s="288" t="s">
        <v>2981</v>
      </c>
      <c r="J11" s="289" t="s">
        <v>2982</v>
      </c>
      <c r="K11" s="289" t="s">
        <v>2958</v>
      </c>
      <c r="L11" s="306"/>
      <c r="M11" s="307" t="s">
        <v>1280</v>
      </c>
    </row>
    <row r="12" ht="52.2" spans="1:13">
      <c r="A12" s="291" t="s">
        <v>1279</v>
      </c>
      <c r="B12" s="292" t="s">
        <v>2986</v>
      </c>
      <c r="C12" s="289">
        <v>40</v>
      </c>
      <c r="D12" s="289" t="s">
        <v>2987</v>
      </c>
      <c r="E12" s="288" t="s">
        <v>2880</v>
      </c>
      <c r="F12" s="288" t="s">
        <v>2979</v>
      </c>
      <c r="G12" s="288" t="s">
        <v>2882</v>
      </c>
      <c r="H12" s="288" t="s">
        <v>2988</v>
      </c>
      <c r="I12" s="288" t="s">
        <v>2927</v>
      </c>
      <c r="J12" s="289" t="s">
        <v>2989</v>
      </c>
      <c r="K12" s="289" t="s">
        <v>2958</v>
      </c>
      <c r="L12" s="306" t="s">
        <v>2983</v>
      </c>
      <c r="M12" s="302" t="s">
        <v>1280</v>
      </c>
    </row>
    <row r="13" ht="52.2" spans="1:13">
      <c r="A13" s="289" t="s">
        <v>1283</v>
      </c>
      <c r="B13" s="293" t="s">
        <v>2986</v>
      </c>
      <c r="C13" s="289">
        <v>40</v>
      </c>
      <c r="D13" s="289" t="s">
        <v>2990</v>
      </c>
      <c r="E13" s="288" t="s">
        <v>2991</v>
      </c>
      <c r="F13" s="288" t="s">
        <v>2939</v>
      </c>
      <c r="G13" s="288" t="s">
        <v>2992</v>
      </c>
      <c r="H13" s="288" t="s">
        <v>2988</v>
      </c>
      <c r="I13" s="288" t="s">
        <v>2927</v>
      </c>
      <c r="J13" s="289" t="s">
        <v>2963</v>
      </c>
      <c r="K13" s="289" t="s">
        <v>2958</v>
      </c>
      <c r="L13" s="306"/>
      <c r="M13" s="307" t="s">
        <v>1317</v>
      </c>
    </row>
    <row r="14" ht="52.2" spans="1:13">
      <c r="A14" s="289" t="s">
        <v>2993</v>
      </c>
      <c r="B14" s="293" t="s">
        <v>2986</v>
      </c>
      <c r="C14" s="289">
        <v>40</v>
      </c>
      <c r="D14" s="289" t="s">
        <v>2990</v>
      </c>
      <c r="E14" s="288" t="s">
        <v>2991</v>
      </c>
      <c r="F14" s="288" t="s">
        <v>2939</v>
      </c>
      <c r="G14" s="288" t="s">
        <v>2992</v>
      </c>
      <c r="H14" s="288" t="s">
        <v>2988</v>
      </c>
      <c r="I14" s="288" t="s">
        <v>2927</v>
      </c>
      <c r="J14" s="289" t="s">
        <v>2994</v>
      </c>
      <c r="K14" s="289" t="s">
        <v>2958</v>
      </c>
      <c r="L14" s="306"/>
      <c r="M14" s="307" t="s">
        <v>1317</v>
      </c>
    </row>
    <row r="15" ht="17.4" spans="1:13">
      <c r="A15" s="294"/>
      <c r="B15" s="294"/>
      <c r="C15" s="294"/>
      <c r="D15" s="294"/>
      <c r="E15" s="294"/>
      <c r="F15" s="294"/>
      <c r="G15" s="294"/>
      <c r="H15" s="294"/>
      <c r="I15" s="294"/>
      <c r="J15" s="294"/>
      <c r="K15" s="294"/>
      <c r="L15" s="294"/>
      <c r="M15" s="308" t="s">
        <v>2995</v>
      </c>
    </row>
    <row r="16" ht="17.4" spans="1:13">
      <c r="A16" s="295"/>
      <c r="B16" s="294"/>
      <c r="C16" s="294"/>
      <c r="D16" s="294"/>
      <c r="E16" s="294"/>
      <c r="F16" s="294"/>
      <c r="G16" s="294"/>
      <c r="H16" s="294"/>
      <c r="I16" s="294"/>
      <c r="J16" s="294"/>
      <c r="K16" s="294"/>
      <c r="L16" s="294"/>
      <c r="M16" s="309"/>
    </row>
    <row r="17" ht="18.15" spans="1:13">
      <c r="A17" s="295"/>
      <c r="B17" s="296"/>
      <c r="C17" s="296"/>
      <c r="D17" s="296"/>
      <c r="E17" s="296"/>
      <c r="F17" s="296"/>
      <c r="G17" s="296"/>
      <c r="H17" s="296"/>
      <c r="I17" s="296"/>
      <c r="J17" s="296"/>
      <c r="K17" s="296"/>
      <c r="L17" s="296"/>
      <c r="M17" s="310"/>
    </row>
    <row r="18" ht="15.15"/>
  </sheetData>
  <mergeCells count="14">
    <mergeCell ref="D1:E1"/>
    <mergeCell ref="F1:G1"/>
    <mergeCell ref="H1:I1"/>
    <mergeCell ref="A1:A2"/>
    <mergeCell ref="B1:B2"/>
    <mergeCell ref="B3:B5"/>
    <mergeCell ref="B6:B8"/>
    <mergeCell ref="C1:C2"/>
    <mergeCell ref="J1:J2"/>
    <mergeCell ref="K1:K2"/>
    <mergeCell ref="L1:L2"/>
    <mergeCell ref="L3:L5"/>
    <mergeCell ref="L6:L7"/>
    <mergeCell ref="M1:M2"/>
  </mergeCells>
  <pageMargins left="0.7" right="0.7" top="0.75" bottom="0.75" header="0.3" footer="0.3"/>
  <headerFooter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1"/>
  <sheetViews>
    <sheetView workbookViewId="0">
      <selection activeCell="A3" sqref="A1:O26"/>
    </sheetView>
  </sheetViews>
  <sheetFormatPr defaultColWidth="9" defaultRowHeight="14.4"/>
  <cols>
    <col min="1" max="1" width="24" customWidth="1"/>
    <col min="12" max="12" width="32.8888888888889" customWidth="1"/>
  </cols>
  <sheetData>
    <row r="1" ht="18.15" spans="1:13">
      <c r="A1" s="244" t="s">
        <v>67</v>
      </c>
      <c r="B1" s="245" t="s">
        <v>443</v>
      </c>
      <c r="C1" s="245" t="s">
        <v>1285</v>
      </c>
      <c r="D1" s="245" t="s">
        <v>1286</v>
      </c>
      <c r="E1" s="245"/>
      <c r="F1" s="245" t="s">
        <v>1287</v>
      </c>
      <c r="G1" s="245"/>
      <c r="H1" s="245" t="s">
        <v>1288</v>
      </c>
      <c r="I1" s="245"/>
      <c r="J1" s="245" t="s">
        <v>1289</v>
      </c>
      <c r="K1" s="263" t="s">
        <v>1322</v>
      </c>
      <c r="L1" s="245" t="s">
        <v>1291</v>
      </c>
      <c r="M1" s="264" t="s">
        <v>1292</v>
      </c>
    </row>
    <row r="2" ht="69.6" spans="1:13">
      <c r="A2" s="246"/>
      <c r="B2" s="247"/>
      <c r="C2" s="247"/>
      <c r="D2" s="247" t="s">
        <v>1293</v>
      </c>
      <c r="E2" s="247" t="s">
        <v>1294</v>
      </c>
      <c r="F2" s="247" t="s">
        <v>1287</v>
      </c>
      <c r="G2" s="247" t="s">
        <v>1294</v>
      </c>
      <c r="H2" s="247" t="s">
        <v>1288</v>
      </c>
      <c r="I2" s="247" t="s">
        <v>1294</v>
      </c>
      <c r="J2" s="247"/>
      <c r="K2" s="265"/>
      <c r="L2" s="247"/>
      <c r="M2" s="266"/>
    </row>
    <row r="3" ht="17.4" spans="1:13">
      <c r="A3" s="248" t="s">
        <v>1323</v>
      </c>
      <c r="B3" s="249" t="s">
        <v>1296</v>
      </c>
      <c r="C3" s="250">
        <v>30</v>
      </c>
      <c r="D3" s="251" t="s">
        <v>1325</v>
      </c>
      <c r="E3" s="250" t="s">
        <v>2996</v>
      </c>
      <c r="F3" s="251" t="s">
        <v>1326</v>
      </c>
      <c r="G3" s="250" t="s">
        <v>2997</v>
      </c>
      <c r="H3" s="252" t="s">
        <v>1299</v>
      </c>
      <c r="I3" s="250" t="s">
        <v>2998</v>
      </c>
      <c r="J3" s="252" t="s">
        <v>1327</v>
      </c>
      <c r="K3" s="267" t="s">
        <v>1328</v>
      </c>
      <c r="L3" s="268"/>
      <c r="M3" s="269" t="s">
        <v>1317</v>
      </c>
    </row>
    <row r="4" ht="52.2" spans="1:13">
      <c r="A4" s="253" t="s">
        <v>1331</v>
      </c>
      <c r="B4" s="254"/>
      <c r="C4" s="250">
        <v>50</v>
      </c>
      <c r="D4" s="251" t="s">
        <v>1297</v>
      </c>
      <c r="E4" s="250" t="s">
        <v>2996</v>
      </c>
      <c r="F4" s="251" t="s">
        <v>1298</v>
      </c>
      <c r="G4" s="250" t="s">
        <v>2997</v>
      </c>
      <c r="H4" s="252" t="s">
        <v>1299</v>
      </c>
      <c r="I4" s="250" t="s">
        <v>2927</v>
      </c>
      <c r="J4" s="252" t="s">
        <v>1327</v>
      </c>
      <c r="K4" s="267" t="s">
        <v>1328</v>
      </c>
      <c r="L4" s="268" t="s">
        <v>2999</v>
      </c>
      <c r="M4" s="270" t="s">
        <v>1317</v>
      </c>
    </row>
    <row r="5" ht="17.4" spans="1:13">
      <c r="A5" s="253" t="s">
        <v>1337</v>
      </c>
      <c r="B5" s="254"/>
      <c r="C5" s="250">
        <v>50</v>
      </c>
      <c r="D5" s="251" t="s">
        <v>1304</v>
      </c>
      <c r="E5" s="250" t="s">
        <v>2996</v>
      </c>
      <c r="F5" s="251" t="s">
        <v>1298</v>
      </c>
      <c r="G5" s="250" t="s">
        <v>2997</v>
      </c>
      <c r="H5" s="252" t="s">
        <v>1299</v>
      </c>
      <c r="I5" s="250" t="s">
        <v>2998</v>
      </c>
      <c r="J5" s="252" t="s">
        <v>1327</v>
      </c>
      <c r="K5" s="267" t="s">
        <v>1328</v>
      </c>
      <c r="L5" s="268"/>
      <c r="M5" s="270" t="s">
        <v>1317</v>
      </c>
    </row>
    <row r="6" ht="69.6" spans="1:13">
      <c r="A6" s="248" t="s">
        <v>1354</v>
      </c>
      <c r="B6" s="255" t="s">
        <v>1355</v>
      </c>
      <c r="C6" s="250">
        <v>30</v>
      </c>
      <c r="D6" s="251" t="s">
        <v>1334</v>
      </c>
      <c r="E6" s="251" t="s">
        <v>3000</v>
      </c>
      <c r="F6" s="251" t="s">
        <v>3001</v>
      </c>
      <c r="G6" s="250" t="s">
        <v>3002</v>
      </c>
      <c r="H6" s="252" t="s">
        <v>1356</v>
      </c>
      <c r="I6" s="250" t="s">
        <v>3003</v>
      </c>
      <c r="J6" s="251" t="s">
        <v>3004</v>
      </c>
      <c r="K6" s="250" t="s">
        <v>3005</v>
      </c>
      <c r="L6" s="268"/>
      <c r="M6" s="270" t="s">
        <v>1317</v>
      </c>
    </row>
    <row r="7" ht="17.4" spans="1:13">
      <c r="A7" s="256"/>
      <c r="B7" s="257"/>
      <c r="C7" s="258"/>
      <c r="D7" s="259"/>
      <c r="E7" s="259"/>
      <c r="F7" s="259"/>
      <c r="G7" s="258"/>
      <c r="H7" s="258"/>
      <c r="I7" s="258"/>
      <c r="J7" s="258"/>
      <c r="K7" s="258"/>
      <c r="L7" s="257"/>
      <c r="M7" s="271"/>
    </row>
    <row r="8" ht="17.4" spans="1:13">
      <c r="A8" s="260"/>
      <c r="B8" s="259"/>
      <c r="C8" s="259"/>
      <c r="D8" s="259"/>
      <c r="E8" s="259"/>
      <c r="F8" s="259"/>
      <c r="G8" s="259"/>
      <c r="H8" s="259"/>
      <c r="I8" s="259"/>
      <c r="J8" s="259"/>
      <c r="K8" s="259"/>
      <c r="L8" s="259"/>
      <c r="M8" s="272" t="s">
        <v>3006</v>
      </c>
    </row>
    <row r="9" ht="17.4" spans="1:13">
      <c r="A9" s="260"/>
      <c r="B9" s="259"/>
      <c r="C9" s="259"/>
      <c r="D9" s="259"/>
      <c r="E9" s="259"/>
      <c r="F9" s="259"/>
      <c r="G9" s="259"/>
      <c r="H9" s="259"/>
      <c r="I9" s="259"/>
      <c r="J9" s="259"/>
      <c r="K9" s="259"/>
      <c r="L9" s="259"/>
      <c r="M9" s="273"/>
    </row>
    <row r="10" ht="18.15" spans="1:13">
      <c r="A10" s="261"/>
      <c r="B10" s="262"/>
      <c r="C10" s="262"/>
      <c r="D10" s="262"/>
      <c r="E10" s="262"/>
      <c r="F10" s="262"/>
      <c r="G10" s="262"/>
      <c r="H10" s="262"/>
      <c r="I10" s="262"/>
      <c r="J10" s="262"/>
      <c r="K10" s="262"/>
      <c r="L10" s="262"/>
      <c r="M10" s="274"/>
    </row>
    <row r="11" ht="15.15"/>
  </sheetData>
  <mergeCells count="11">
    <mergeCell ref="D1:E1"/>
    <mergeCell ref="F1:G1"/>
    <mergeCell ref="H1:I1"/>
    <mergeCell ref="A1:A2"/>
    <mergeCell ref="B1:B2"/>
    <mergeCell ref="B3:B5"/>
    <mergeCell ref="C1:C2"/>
    <mergeCell ref="J1:J2"/>
    <mergeCell ref="K1:K2"/>
    <mergeCell ref="L1:L2"/>
    <mergeCell ref="M1:M2"/>
  </mergeCells>
  <pageMargins left="0.7" right="0.7" top="0.75" bottom="0.75" header="0.3" footer="0.3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4"/>
  <dimension ref="A1:CB40"/>
  <sheetViews>
    <sheetView zoomScale="70" zoomScaleNormal="70" workbookViewId="0">
      <pane xSplit="3" ySplit="8" topLeftCell="K9" activePane="bottomRight" state="frozen"/>
      <selection/>
      <selection pane="topRight"/>
      <selection pane="bottomLeft"/>
      <selection pane="bottomRight" activeCell="O15" sqref="O15"/>
    </sheetView>
  </sheetViews>
  <sheetFormatPr defaultColWidth="9" defaultRowHeight="15"/>
  <cols>
    <col min="1" max="1" width="7.88888888888889" style="129" hidden="1" customWidth="1"/>
    <col min="2" max="2" width="9" style="130" customWidth="1"/>
    <col min="3" max="3" width="15.1111111111111" style="130" customWidth="1"/>
    <col min="4" max="4" width="30.7777777777778" style="131" customWidth="1"/>
    <col min="5" max="5" width="18.6666666666667" style="131" customWidth="1"/>
    <col min="6" max="10" width="17.6666666666667" style="131" customWidth="1"/>
    <col min="11" max="11" width="17.4444444444444" style="131" customWidth="1"/>
    <col min="12" max="13" width="17.4444444444444" style="132" customWidth="1"/>
    <col min="14" max="18" width="17.4444444444444" style="131" customWidth="1"/>
    <col min="19" max="21" width="18.2222222222222" style="131" customWidth="1"/>
    <col min="22" max="23" width="17.6666666666667" style="131" customWidth="1"/>
    <col min="24" max="24" width="17.6666666666667" style="133" customWidth="1"/>
    <col min="25" max="25" width="17.6666666666667" style="134" customWidth="1"/>
    <col min="26" max="26" width="17.6666666666667" style="135" customWidth="1"/>
    <col min="27" max="28" width="17.6666666666667" style="134" customWidth="1"/>
    <col min="29" max="32" width="17.3333333333333" style="131" customWidth="1"/>
    <col min="33" max="33" width="17.3333333333333" style="134" customWidth="1"/>
    <col min="34" max="35" width="16.1111111111111" style="131" customWidth="1"/>
    <col min="36" max="38" width="21.8888888888889" style="131" customWidth="1"/>
    <col min="39" max="40" width="21.8888888888889" style="134" customWidth="1"/>
    <col min="41" max="48" width="17.7777777777778" style="131" customWidth="1"/>
    <col min="49" max="50" width="17.7777777777778" style="134" customWidth="1"/>
    <col min="51" max="54" width="17.7777777777778" style="131" customWidth="1"/>
    <col min="55" max="59" width="20.7777777777778" style="131" customWidth="1"/>
    <col min="60" max="61" width="16.1111111111111" style="131" customWidth="1"/>
    <col min="62" max="62" width="16.1111111111111" style="134" customWidth="1"/>
    <col min="63" max="65" width="16.1111111111111" style="131" customWidth="1"/>
    <col min="66" max="70" width="16.1111111111111" style="134" customWidth="1"/>
    <col min="71" max="73" width="16.3333333333333" style="131" customWidth="1"/>
    <col min="74" max="74" width="20.2222222222222" style="131" customWidth="1"/>
    <col min="75" max="79" width="20.2222222222222" style="134" customWidth="1"/>
    <col min="80" max="80" width="16.3333333333333" style="131" customWidth="1"/>
    <col min="81" max="16384" width="9" style="130"/>
  </cols>
  <sheetData>
    <row r="1" ht="33" customHeight="1" spans="2:80">
      <c r="B1" s="136"/>
      <c r="C1" s="136"/>
      <c r="D1" s="137" t="s">
        <v>3007</v>
      </c>
      <c r="E1" s="137" t="s">
        <v>3008</v>
      </c>
      <c r="F1" s="137" t="s">
        <v>3009</v>
      </c>
      <c r="H1" s="137" t="s">
        <v>3008</v>
      </c>
      <c r="I1" s="137" t="s">
        <v>3009</v>
      </c>
      <c r="K1" s="137" t="s">
        <v>3008</v>
      </c>
      <c r="L1" s="137" t="s">
        <v>3009</v>
      </c>
      <c r="M1" s="131"/>
      <c r="N1" s="137" t="s">
        <v>3008</v>
      </c>
      <c r="O1" s="137" t="s">
        <v>3009</v>
      </c>
      <c r="V1" s="133"/>
      <c r="W1" s="134"/>
      <c r="X1" s="131"/>
      <c r="Y1" s="131"/>
      <c r="Z1" s="67"/>
      <c r="AA1" s="131"/>
      <c r="AB1" s="131"/>
      <c r="AE1" s="134"/>
      <c r="AG1" s="131"/>
      <c r="AJ1" s="134"/>
      <c r="AK1" s="134"/>
      <c r="AL1" s="134"/>
      <c r="AU1" s="134"/>
      <c r="AV1" s="134"/>
      <c r="AW1" s="131"/>
      <c r="AX1" s="131"/>
      <c r="BH1" s="134"/>
      <c r="BJ1" s="131"/>
      <c r="CA1" s="238"/>
      <c r="CB1" s="130"/>
    </row>
    <row r="2" ht="34.5" customHeight="1" spans="2:80">
      <c r="B2" s="136"/>
      <c r="C2" s="136"/>
      <c r="D2" s="138" t="str">
        <f>IF(亮度與BLU功耗!E10="","",亮度與BLU功耗!E10)</f>
        <v>3006(YAG-展晶)-2.9V MAX-無Zener</v>
      </c>
      <c r="E2" s="137">
        <f>IF(亮度與BLU功耗!E21="","",亮度與BLU功耗!E21)</f>
        <v>22</v>
      </c>
      <c r="F2" s="137">
        <f>IF(OR(D2="",E2=""),"",INDEX(D10:DB40,MATCH(E2,A10:A40,1),MATCH(D2,D8:DB8,0)))</f>
        <v>2.93</v>
      </c>
      <c r="H2" s="137">
        <f>亮度與BLU功耗!K69</f>
        <v>12.3912289962471</v>
      </c>
      <c r="I2" s="137">
        <f>IF(OR(D2="",E2=""),"",INDEX(D10:DB40,MATCH(H2,A10:A40,1),MATCH(D2,D8:DB8,0)))</f>
        <v>2.82</v>
      </c>
      <c r="K2" s="137">
        <f>亮度與BLU功耗!L69</f>
        <v>9.29342174718532</v>
      </c>
      <c r="L2" s="137">
        <f>IF(OR(D2="",E2=""),"",INDEX(D10:DB40,MATCH(K2,A10:A40,1),MATCH(D2,D8:DB8,0)))</f>
        <v>2.79</v>
      </c>
      <c r="M2" s="131"/>
      <c r="N2" s="137">
        <f>亮度與BLU功耗!M69</f>
        <v>3.71736869887413</v>
      </c>
      <c r="O2" s="137">
        <f>IF(OR(D2="",E2=""),"",INDEX(D10:DB40,MATCH(N2,A10:A40,1),MATCH(D2,D8:DB8,0)))</f>
        <v>2.7</v>
      </c>
      <c r="V2" s="133"/>
      <c r="W2" s="134"/>
      <c r="X2" s="131"/>
      <c r="Y2" s="131"/>
      <c r="Z2" s="67"/>
      <c r="AA2" s="131"/>
      <c r="AB2" s="131"/>
      <c r="AE2" s="134"/>
      <c r="AG2" s="131"/>
      <c r="AJ2" s="134"/>
      <c r="AK2" s="134"/>
      <c r="AL2" s="134"/>
      <c r="AU2" s="134"/>
      <c r="AV2" s="134"/>
      <c r="AW2" s="131"/>
      <c r="AX2" s="131"/>
      <c r="BH2" s="134"/>
      <c r="BJ2" s="131"/>
      <c r="CA2" s="238"/>
      <c r="CB2" s="130"/>
    </row>
    <row r="3" ht="8.25" customHeight="1"/>
    <row r="4" ht="27" customHeight="1" spans="2:80">
      <c r="B4" s="139" t="s">
        <v>2084</v>
      </c>
      <c r="C4" s="139"/>
      <c r="D4" s="140" t="s">
        <v>3010</v>
      </c>
      <c r="E4" s="141"/>
      <c r="F4" s="141"/>
      <c r="G4" s="142"/>
      <c r="H4" s="143" t="s">
        <v>3011</v>
      </c>
      <c r="I4" s="164"/>
      <c r="J4" s="164"/>
      <c r="K4" s="164"/>
      <c r="L4" s="164"/>
      <c r="M4" s="164"/>
      <c r="N4" s="164"/>
      <c r="O4" s="164"/>
      <c r="P4" s="164"/>
      <c r="Q4" s="164"/>
      <c r="R4" s="184"/>
      <c r="S4" s="185" t="s">
        <v>3012</v>
      </c>
      <c r="T4" s="186"/>
      <c r="U4" s="186"/>
      <c r="V4" s="186"/>
      <c r="W4" s="186"/>
      <c r="X4" s="186"/>
      <c r="Y4" s="186"/>
      <c r="Z4" s="186"/>
      <c r="AA4" s="186"/>
      <c r="AB4" s="198"/>
      <c r="AC4" s="199" t="s">
        <v>3013</v>
      </c>
      <c r="AD4" s="200"/>
      <c r="AE4" s="200"/>
      <c r="AF4" s="200"/>
      <c r="AG4" s="200"/>
      <c r="AH4" s="200"/>
      <c r="AI4" s="200"/>
      <c r="AJ4" s="200"/>
      <c r="AK4" s="200"/>
      <c r="AL4" s="206"/>
      <c r="AM4" s="207" t="s">
        <v>3014</v>
      </c>
      <c r="AN4" s="208"/>
      <c r="AO4" s="208"/>
      <c r="AP4" s="208"/>
      <c r="AQ4" s="208"/>
      <c r="AR4" s="208"/>
      <c r="AS4" s="208"/>
      <c r="AT4" s="208"/>
      <c r="AU4" s="208"/>
      <c r="AV4" s="208"/>
      <c r="AW4" s="208"/>
      <c r="AX4" s="208"/>
      <c r="AY4" s="208"/>
      <c r="AZ4" s="208"/>
      <c r="BA4" s="208"/>
      <c r="BB4" s="214"/>
      <c r="BC4" s="215" t="s">
        <v>3015</v>
      </c>
      <c r="BD4" s="216"/>
      <c r="BE4" s="216"/>
      <c r="BF4" s="216"/>
      <c r="BG4" s="223"/>
      <c r="BH4" s="224" t="s">
        <v>2597</v>
      </c>
      <c r="BI4" s="225"/>
      <c r="BJ4" s="225"/>
      <c r="BK4" s="225"/>
      <c r="BL4" s="225"/>
      <c r="BM4" s="225"/>
      <c r="BN4" s="225"/>
      <c r="BO4" s="225"/>
      <c r="BP4" s="225"/>
      <c r="BQ4" s="225"/>
      <c r="BR4" s="226"/>
      <c r="BS4" s="227" t="s">
        <v>2544</v>
      </c>
      <c r="BT4" s="228"/>
      <c r="BU4" s="228"/>
      <c r="BV4" s="228"/>
      <c r="BW4" s="228"/>
      <c r="BX4" s="228"/>
      <c r="BY4" s="228"/>
      <c r="BZ4" s="239"/>
      <c r="CA4" s="240" t="s">
        <v>3016</v>
      </c>
      <c r="CB4" s="241" t="s">
        <v>2587</v>
      </c>
    </row>
    <row r="5" ht="18.75" customHeight="1" spans="2:80">
      <c r="B5" s="144" t="s">
        <v>2298</v>
      </c>
      <c r="C5" s="144" t="s">
        <v>3017</v>
      </c>
      <c r="D5" s="145">
        <v>3806</v>
      </c>
      <c r="E5" s="145">
        <v>3806</v>
      </c>
      <c r="F5" s="145">
        <v>3806</v>
      </c>
      <c r="G5" s="145">
        <v>3806</v>
      </c>
      <c r="H5" s="146">
        <v>3006</v>
      </c>
      <c r="I5" s="146">
        <v>3006</v>
      </c>
      <c r="J5" s="146">
        <v>3006</v>
      </c>
      <c r="K5" s="146">
        <v>3804</v>
      </c>
      <c r="L5" s="165">
        <v>3105</v>
      </c>
      <c r="M5" s="165">
        <v>4206</v>
      </c>
      <c r="N5" s="146">
        <v>4206</v>
      </c>
      <c r="O5" s="166">
        <v>3006</v>
      </c>
      <c r="P5" s="166">
        <v>3006</v>
      </c>
      <c r="Q5" s="166">
        <v>3105</v>
      </c>
      <c r="R5" s="166">
        <v>4206</v>
      </c>
      <c r="S5" s="187">
        <v>3006</v>
      </c>
      <c r="T5" s="145">
        <v>3806</v>
      </c>
      <c r="U5" s="145">
        <v>3806</v>
      </c>
      <c r="V5" s="145">
        <v>3806</v>
      </c>
      <c r="W5" s="145">
        <v>3806</v>
      </c>
      <c r="X5" s="188">
        <v>3006</v>
      </c>
      <c r="Y5" s="201">
        <v>3806</v>
      </c>
      <c r="Z5" s="202">
        <v>3006</v>
      </c>
      <c r="AA5" s="201">
        <v>3006</v>
      </c>
      <c r="AB5" s="201">
        <v>3806</v>
      </c>
      <c r="AC5" s="146">
        <v>3806</v>
      </c>
      <c r="AD5" s="146">
        <v>3806</v>
      </c>
      <c r="AE5" s="146">
        <v>3806</v>
      </c>
      <c r="AF5" s="146">
        <v>3806</v>
      </c>
      <c r="AG5" s="201">
        <v>3806</v>
      </c>
      <c r="AH5" s="209">
        <v>3006</v>
      </c>
      <c r="AI5" s="209">
        <v>3006</v>
      </c>
      <c r="AJ5" s="209">
        <v>3006</v>
      </c>
      <c r="AK5" s="209">
        <v>3006</v>
      </c>
      <c r="AL5" s="209">
        <v>3006</v>
      </c>
      <c r="AM5" s="210">
        <v>3006</v>
      </c>
      <c r="AN5" s="210">
        <v>3006</v>
      </c>
      <c r="AO5" s="146">
        <v>3806</v>
      </c>
      <c r="AP5" s="146">
        <v>3806</v>
      </c>
      <c r="AQ5" s="145">
        <v>3006</v>
      </c>
      <c r="AR5" s="145">
        <v>3006</v>
      </c>
      <c r="AS5" s="146">
        <v>3804</v>
      </c>
      <c r="AT5" s="146">
        <v>3804</v>
      </c>
      <c r="AU5" s="146">
        <v>3806</v>
      </c>
      <c r="AV5" s="146">
        <v>3806</v>
      </c>
      <c r="AW5" s="201">
        <v>3806</v>
      </c>
      <c r="AX5" s="201">
        <v>3806</v>
      </c>
      <c r="AY5" s="145">
        <v>3006</v>
      </c>
      <c r="AZ5" s="145">
        <v>3006</v>
      </c>
      <c r="BA5" s="217">
        <v>3806</v>
      </c>
      <c r="BB5" s="217">
        <v>3806</v>
      </c>
      <c r="BC5" s="201">
        <v>3006</v>
      </c>
      <c r="BD5" s="201">
        <v>3806</v>
      </c>
      <c r="BE5" s="201">
        <v>3806</v>
      </c>
      <c r="BF5" s="201">
        <v>3806</v>
      </c>
      <c r="BG5" s="201">
        <v>3806</v>
      </c>
      <c r="BH5" s="146">
        <v>3806</v>
      </c>
      <c r="BI5" s="146">
        <v>3806</v>
      </c>
      <c r="BJ5" s="201">
        <v>3806</v>
      </c>
      <c r="BK5" s="146">
        <v>3804</v>
      </c>
      <c r="BL5" s="146">
        <v>3804</v>
      </c>
      <c r="BM5" s="146">
        <v>3006</v>
      </c>
      <c r="BN5" s="201">
        <v>3006</v>
      </c>
      <c r="BO5" s="201">
        <v>3006</v>
      </c>
      <c r="BP5" s="201">
        <v>3006</v>
      </c>
      <c r="BQ5" s="201">
        <v>3006</v>
      </c>
      <c r="BR5" s="229">
        <v>3006</v>
      </c>
      <c r="BS5" s="210">
        <v>3806</v>
      </c>
      <c r="BT5" s="230">
        <v>3806</v>
      </c>
      <c r="BU5" s="230">
        <v>3806</v>
      </c>
      <c r="BV5" s="230">
        <v>3806</v>
      </c>
      <c r="BW5" s="210">
        <v>3806</v>
      </c>
      <c r="BX5" s="210">
        <v>3806</v>
      </c>
      <c r="BY5" s="210">
        <v>3006</v>
      </c>
      <c r="BZ5" s="210">
        <v>3006</v>
      </c>
      <c r="CA5" s="210">
        <v>3006</v>
      </c>
      <c r="CB5" s="230">
        <v>3806</v>
      </c>
    </row>
    <row r="6" s="126" customFormat="1" ht="39" customHeight="1" spans="1:80">
      <c r="A6" s="147"/>
      <c r="B6" s="144"/>
      <c r="C6" s="148" t="s">
        <v>2591</v>
      </c>
      <c r="D6" s="149" t="s">
        <v>1610</v>
      </c>
      <c r="E6" s="149" t="s">
        <v>1610</v>
      </c>
      <c r="F6" s="149" t="s">
        <v>3018</v>
      </c>
      <c r="G6" s="149" t="s">
        <v>3018</v>
      </c>
      <c r="H6" s="150" t="s">
        <v>2599</v>
      </c>
      <c r="I6" s="167" t="s">
        <v>3019</v>
      </c>
      <c r="J6" s="167" t="s">
        <v>3020</v>
      </c>
      <c r="K6" s="167" t="s">
        <v>3020</v>
      </c>
      <c r="L6" s="168" t="s">
        <v>3021</v>
      </c>
      <c r="M6" s="168" t="s">
        <v>3022</v>
      </c>
      <c r="N6" s="167" t="s">
        <v>3020</v>
      </c>
      <c r="O6" s="169" t="s">
        <v>3023</v>
      </c>
      <c r="P6" s="167" t="s">
        <v>3020</v>
      </c>
      <c r="Q6" s="167" t="s">
        <v>3020</v>
      </c>
      <c r="R6" s="167" t="s">
        <v>3020</v>
      </c>
      <c r="S6" s="189" t="s">
        <v>3020</v>
      </c>
      <c r="T6" s="150" t="s">
        <v>1610</v>
      </c>
      <c r="U6" s="150" t="s">
        <v>1610</v>
      </c>
      <c r="V6" s="149" t="s">
        <v>3024</v>
      </c>
      <c r="W6" s="149" t="s">
        <v>3024</v>
      </c>
      <c r="X6" s="190" t="s">
        <v>2599</v>
      </c>
      <c r="Y6" s="167" t="s">
        <v>2599</v>
      </c>
      <c r="Z6" s="169" t="s">
        <v>3025</v>
      </c>
      <c r="AA6" s="167" t="s">
        <v>3020</v>
      </c>
      <c r="AB6" s="167" t="s">
        <v>3020</v>
      </c>
      <c r="AC6" s="150" t="s">
        <v>1610</v>
      </c>
      <c r="AD6" s="150" t="s">
        <v>1610</v>
      </c>
      <c r="AE6" s="149" t="s">
        <v>2599</v>
      </c>
      <c r="AF6" s="149" t="s">
        <v>2599</v>
      </c>
      <c r="AG6" s="167" t="s">
        <v>3026</v>
      </c>
      <c r="AH6" s="149" t="s">
        <v>2599</v>
      </c>
      <c r="AI6" s="149" t="s">
        <v>2599</v>
      </c>
      <c r="AJ6" s="167" t="s">
        <v>3020</v>
      </c>
      <c r="AK6" s="167" t="s">
        <v>3020</v>
      </c>
      <c r="AL6" s="167" t="s">
        <v>3020</v>
      </c>
      <c r="AM6" s="167" t="s">
        <v>3020</v>
      </c>
      <c r="AN6" s="167" t="s">
        <v>3020</v>
      </c>
      <c r="AO6" s="150" t="s">
        <v>1610</v>
      </c>
      <c r="AP6" s="150" t="s">
        <v>1610</v>
      </c>
      <c r="AQ6" s="149" t="s">
        <v>1610</v>
      </c>
      <c r="AR6" s="149" t="s">
        <v>1610</v>
      </c>
      <c r="AS6" s="150" t="s">
        <v>1610</v>
      </c>
      <c r="AT6" s="150" t="s">
        <v>1610</v>
      </c>
      <c r="AU6" s="150" t="s">
        <v>2599</v>
      </c>
      <c r="AV6" s="150" t="s">
        <v>2599</v>
      </c>
      <c r="AW6" s="167" t="s">
        <v>3026</v>
      </c>
      <c r="AX6" s="167" t="s">
        <v>3026</v>
      </c>
      <c r="AY6" s="149" t="s">
        <v>2599</v>
      </c>
      <c r="AZ6" s="149" t="s">
        <v>2599</v>
      </c>
      <c r="BA6" s="218" t="s">
        <v>3027</v>
      </c>
      <c r="BB6" s="218" t="s">
        <v>3027</v>
      </c>
      <c r="BC6" s="167" t="s">
        <v>3021</v>
      </c>
      <c r="BD6" s="167" t="s">
        <v>1610</v>
      </c>
      <c r="BE6" s="167" t="s">
        <v>1610</v>
      </c>
      <c r="BF6" s="167" t="s">
        <v>1610</v>
      </c>
      <c r="BG6" s="167" t="s">
        <v>1610</v>
      </c>
      <c r="BH6" s="150" t="s">
        <v>1610</v>
      </c>
      <c r="BI6" s="150" t="s">
        <v>1610</v>
      </c>
      <c r="BJ6" s="167" t="s">
        <v>3028</v>
      </c>
      <c r="BK6" s="150" t="s">
        <v>1610</v>
      </c>
      <c r="BL6" s="150" t="s">
        <v>1610</v>
      </c>
      <c r="BM6" s="150" t="s">
        <v>1610</v>
      </c>
      <c r="BN6" s="167" t="s">
        <v>1610</v>
      </c>
      <c r="BO6" s="167" t="s">
        <v>1610</v>
      </c>
      <c r="BP6" s="167" t="s">
        <v>3021</v>
      </c>
      <c r="BQ6" s="167" t="s">
        <v>3021</v>
      </c>
      <c r="BR6" s="231" t="s">
        <v>3021</v>
      </c>
      <c r="BS6" s="150" t="s">
        <v>1610</v>
      </c>
      <c r="BT6" s="150" t="s">
        <v>1610</v>
      </c>
      <c r="BU6" s="150" t="s">
        <v>1610</v>
      </c>
      <c r="BV6" s="150" t="s">
        <v>2599</v>
      </c>
      <c r="BW6" s="167" t="s">
        <v>2599</v>
      </c>
      <c r="BX6" s="167" t="s">
        <v>2599</v>
      </c>
      <c r="BY6" s="167" t="s">
        <v>3021</v>
      </c>
      <c r="BZ6" s="167" t="s">
        <v>3021</v>
      </c>
      <c r="CA6" s="167" t="s">
        <v>3021</v>
      </c>
      <c r="CB6" s="150" t="s">
        <v>1610</v>
      </c>
    </row>
    <row r="7" s="126" customFormat="1" ht="47.1" hidden="1" customHeight="1" spans="1:80">
      <c r="A7" s="147"/>
      <c r="B7" s="144"/>
      <c r="C7" s="151" t="s">
        <v>3029</v>
      </c>
      <c r="D7" s="149" t="s">
        <v>3030</v>
      </c>
      <c r="E7" s="149" t="s">
        <v>3030</v>
      </c>
      <c r="F7" s="149" t="s">
        <v>3031</v>
      </c>
      <c r="G7" s="149" t="s">
        <v>3031</v>
      </c>
      <c r="H7" s="150" t="s">
        <v>3032</v>
      </c>
      <c r="I7" s="150" t="s">
        <v>3033</v>
      </c>
      <c r="J7" s="150" t="s">
        <v>3034</v>
      </c>
      <c r="K7" s="150" t="s">
        <v>3035</v>
      </c>
      <c r="L7" s="168"/>
      <c r="M7" s="168"/>
      <c r="N7" s="150" t="s">
        <v>3036</v>
      </c>
      <c r="O7" s="170"/>
      <c r="P7" s="170"/>
      <c r="Q7" s="170"/>
      <c r="R7" s="170"/>
      <c r="S7" s="189"/>
      <c r="T7" s="150" t="s">
        <v>3037</v>
      </c>
      <c r="U7" s="150" t="s">
        <v>3037</v>
      </c>
      <c r="V7" s="149" t="s">
        <v>3038</v>
      </c>
      <c r="W7" s="149" t="s">
        <v>3038</v>
      </c>
      <c r="X7" s="190"/>
      <c r="Y7" s="167"/>
      <c r="Z7" s="169"/>
      <c r="AA7" s="167"/>
      <c r="AB7" s="167"/>
      <c r="AC7" s="150" t="s">
        <v>3039</v>
      </c>
      <c r="AD7" s="150" t="s">
        <v>3039</v>
      </c>
      <c r="AE7" s="149" t="s">
        <v>3040</v>
      </c>
      <c r="AF7" s="149" t="s">
        <v>3040</v>
      </c>
      <c r="AG7" s="167"/>
      <c r="AH7" s="149" t="s">
        <v>3041</v>
      </c>
      <c r="AI7" s="149" t="s">
        <v>3041</v>
      </c>
      <c r="AJ7" s="167" t="s">
        <v>3042</v>
      </c>
      <c r="AK7" s="167" t="s">
        <v>3042</v>
      </c>
      <c r="AL7" s="167"/>
      <c r="AM7" s="167"/>
      <c r="AN7" s="167"/>
      <c r="AO7" s="150" t="s">
        <v>3043</v>
      </c>
      <c r="AP7" s="150" t="s">
        <v>3043</v>
      </c>
      <c r="AQ7" s="211" t="s">
        <v>3044</v>
      </c>
      <c r="AR7" s="211" t="s">
        <v>3044</v>
      </c>
      <c r="AS7" s="211" t="s">
        <v>3045</v>
      </c>
      <c r="AT7" s="211" t="s">
        <v>3045</v>
      </c>
      <c r="AU7" s="211" t="s">
        <v>3046</v>
      </c>
      <c r="AV7" s="211" t="s">
        <v>3046</v>
      </c>
      <c r="AW7" s="219"/>
      <c r="AX7" s="219"/>
      <c r="AY7" s="211" t="s">
        <v>3047</v>
      </c>
      <c r="AZ7" s="211" t="s">
        <v>3047</v>
      </c>
      <c r="BA7" s="220"/>
      <c r="BB7" s="220"/>
      <c r="BC7" s="167" t="s">
        <v>3048</v>
      </c>
      <c r="BD7" s="167" t="s">
        <v>3049</v>
      </c>
      <c r="BE7" s="167" t="s">
        <v>3049</v>
      </c>
      <c r="BF7" s="167" t="s">
        <v>3050</v>
      </c>
      <c r="BG7" s="167" t="s">
        <v>3050</v>
      </c>
      <c r="BH7" s="150" t="s">
        <v>3051</v>
      </c>
      <c r="BI7" s="150" t="s">
        <v>3051</v>
      </c>
      <c r="BJ7" s="167"/>
      <c r="BK7" s="150" t="s">
        <v>3052</v>
      </c>
      <c r="BL7" s="150" t="s">
        <v>3052</v>
      </c>
      <c r="BM7" s="150" t="s">
        <v>3053</v>
      </c>
      <c r="BN7" s="167" t="s">
        <v>3053</v>
      </c>
      <c r="BO7" s="167" t="s">
        <v>3053</v>
      </c>
      <c r="BP7" s="167"/>
      <c r="BQ7" s="167"/>
      <c r="BR7" s="231"/>
      <c r="BS7" s="221" t="s">
        <v>3054</v>
      </c>
      <c r="BT7" s="221" t="s">
        <v>3055</v>
      </c>
      <c r="BU7" s="221" t="s">
        <v>3056</v>
      </c>
      <c r="BV7" s="221" t="s">
        <v>3057</v>
      </c>
      <c r="BW7" s="221" t="s">
        <v>3058</v>
      </c>
      <c r="BX7" s="221" t="s">
        <v>3059</v>
      </c>
      <c r="BY7" s="221"/>
      <c r="BZ7" s="221"/>
      <c r="CA7" s="221"/>
      <c r="CB7" s="221" t="s">
        <v>3060</v>
      </c>
    </row>
    <row r="8" s="126" customFormat="1" ht="68.4" customHeight="1" spans="1:80">
      <c r="A8" s="147"/>
      <c r="B8" s="152"/>
      <c r="C8" s="151" t="s">
        <v>3061</v>
      </c>
      <c r="D8" s="149" t="s">
        <v>3062</v>
      </c>
      <c r="E8" s="149" t="s">
        <v>3063</v>
      </c>
      <c r="F8" s="149" t="s">
        <v>3064</v>
      </c>
      <c r="G8" s="149" t="s">
        <v>3065</v>
      </c>
      <c r="H8" s="150" t="s">
        <v>3066</v>
      </c>
      <c r="I8" s="150" t="s">
        <v>3067</v>
      </c>
      <c r="J8" s="150" t="s">
        <v>3068</v>
      </c>
      <c r="K8" s="149" t="s">
        <v>3069</v>
      </c>
      <c r="L8" s="168" t="s">
        <v>3070</v>
      </c>
      <c r="M8" s="168" t="s">
        <v>3071</v>
      </c>
      <c r="N8" s="149" t="s">
        <v>3072</v>
      </c>
      <c r="O8" s="171" t="s">
        <v>3073</v>
      </c>
      <c r="P8" s="172" t="s">
        <v>2375</v>
      </c>
      <c r="Q8" s="191" t="s">
        <v>2381</v>
      </c>
      <c r="R8" s="172" t="s">
        <v>2386</v>
      </c>
      <c r="S8" s="189" t="s">
        <v>3074</v>
      </c>
      <c r="T8" s="150" t="s">
        <v>3075</v>
      </c>
      <c r="U8" s="150" t="s">
        <v>3076</v>
      </c>
      <c r="V8" s="149" t="s">
        <v>3077</v>
      </c>
      <c r="W8" s="149" t="s">
        <v>3078</v>
      </c>
      <c r="X8" s="190" t="s">
        <v>3079</v>
      </c>
      <c r="Y8" s="167" t="s">
        <v>3080</v>
      </c>
      <c r="Z8" s="169" t="s">
        <v>3081</v>
      </c>
      <c r="AA8" s="172" t="s">
        <v>2429</v>
      </c>
      <c r="AB8" s="203" t="s">
        <v>2433</v>
      </c>
      <c r="AC8" s="150" t="s">
        <v>3082</v>
      </c>
      <c r="AD8" s="150" t="s">
        <v>3083</v>
      </c>
      <c r="AE8" s="149" t="s">
        <v>3084</v>
      </c>
      <c r="AF8" s="149" t="s">
        <v>3085</v>
      </c>
      <c r="AG8" s="167" t="s">
        <v>3086</v>
      </c>
      <c r="AH8" s="149" t="s">
        <v>3087</v>
      </c>
      <c r="AI8" s="149" t="s">
        <v>3088</v>
      </c>
      <c r="AJ8" s="149" t="s">
        <v>3089</v>
      </c>
      <c r="AK8" s="149" t="s">
        <v>3090</v>
      </c>
      <c r="AL8" s="203" t="s">
        <v>2457</v>
      </c>
      <c r="AM8" s="167" t="s">
        <v>3091</v>
      </c>
      <c r="AN8" s="167" t="s">
        <v>3092</v>
      </c>
      <c r="AO8" s="150" t="s">
        <v>3093</v>
      </c>
      <c r="AP8" s="150" t="s">
        <v>3094</v>
      </c>
      <c r="AQ8" s="212" t="s">
        <v>2486</v>
      </c>
      <c r="AR8" s="212" t="s">
        <v>2490</v>
      </c>
      <c r="AS8" s="211" t="s">
        <v>3095</v>
      </c>
      <c r="AT8" s="211" t="s">
        <v>3096</v>
      </c>
      <c r="AU8" s="213" t="s">
        <v>2496</v>
      </c>
      <c r="AV8" s="213" t="s">
        <v>2498</v>
      </c>
      <c r="AW8" s="221" t="s">
        <v>2499</v>
      </c>
      <c r="AX8" s="221" t="s">
        <v>2504</v>
      </c>
      <c r="AY8" s="211" t="s">
        <v>3097</v>
      </c>
      <c r="AZ8" s="211" t="s">
        <v>3098</v>
      </c>
      <c r="BA8" s="203" t="s">
        <v>2472</v>
      </c>
      <c r="BB8" s="203" t="s">
        <v>2478</v>
      </c>
      <c r="BC8" s="213" t="s">
        <v>3099</v>
      </c>
      <c r="BD8" s="167" t="s">
        <v>3100</v>
      </c>
      <c r="BE8" s="167" t="s">
        <v>3101</v>
      </c>
      <c r="BF8" s="213" t="s">
        <v>3102</v>
      </c>
      <c r="BG8" s="213" t="s">
        <v>3103</v>
      </c>
      <c r="BH8" s="212" t="s">
        <v>2509</v>
      </c>
      <c r="BI8" s="150" t="s">
        <v>3104</v>
      </c>
      <c r="BJ8" s="167" t="s">
        <v>3105</v>
      </c>
      <c r="BK8" s="213" t="s">
        <v>3106</v>
      </c>
      <c r="BL8" s="213" t="s">
        <v>3107</v>
      </c>
      <c r="BM8" s="150" t="s">
        <v>3108</v>
      </c>
      <c r="BN8" s="167" t="s">
        <v>3109</v>
      </c>
      <c r="BO8" s="167" t="s">
        <v>3110</v>
      </c>
      <c r="BP8" s="167" t="s">
        <v>3111</v>
      </c>
      <c r="BQ8" s="167" t="s">
        <v>3112</v>
      </c>
      <c r="BR8" s="232" t="s">
        <v>2535</v>
      </c>
      <c r="BS8" s="213" t="s">
        <v>2540</v>
      </c>
      <c r="BT8" s="213" t="s">
        <v>2548</v>
      </c>
      <c r="BU8" s="213" t="s">
        <v>2550</v>
      </c>
      <c r="BV8" s="213" t="s">
        <v>2553</v>
      </c>
      <c r="BW8" s="221" t="s">
        <v>2558</v>
      </c>
      <c r="BX8" s="221" t="s">
        <v>2561</v>
      </c>
      <c r="BY8" s="221" t="s">
        <v>2564</v>
      </c>
      <c r="BZ8" s="232" t="s">
        <v>2568</v>
      </c>
      <c r="CA8" s="221" t="s">
        <v>2573</v>
      </c>
      <c r="CB8" s="213" t="s">
        <v>2580</v>
      </c>
    </row>
    <row r="9" s="127" customFormat="1" ht="41.1" customHeight="1" spans="1:80">
      <c r="A9" s="153"/>
      <c r="B9" s="154" t="s">
        <v>3113</v>
      </c>
      <c r="C9" s="155"/>
      <c r="D9" s="156" t="s">
        <v>3114</v>
      </c>
      <c r="E9" s="156" t="s">
        <v>3114</v>
      </c>
      <c r="F9" s="156" t="s">
        <v>3114</v>
      </c>
      <c r="G9" s="156" t="s">
        <v>3114</v>
      </c>
      <c r="H9" s="156" t="s">
        <v>3114</v>
      </c>
      <c r="I9" s="156" t="s">
        <v>3114</v>
      </c>
      <c r="J9" s="156" t="s">
        <v>3114</v>
      </c>
      <c r="K9" s="156" t="s">
        <v>3114</v>
      </c>
      <c r="L9" s="173" t="s">
        <v>3114</v>
      </c>
      <c r="M9" s="173" t="s">
        <v>3114</v>
      </c>
      <c r="N9" s="156" t="s">
        <v>3114</v>
      </c>
      <c r="O9" s="174" t="s">
        <v>3114</v>
      </c>
      <c r="P9" s="175" t="s">
        <v>3114</v>
      </c>
      <c r="Q9" s="175" t="s">
        <v>3114</v>
      </c>
      <c r="R9" s="175" t="s">
        <v>3114</v>
      </c>
      <c r="S9" s="156" t="s">
        <v>3114</v>
      </c>
      <c r="T9" s="156" t="s">
        <v>3114</v>
      </c>
      <c r="U9" s="156" t="s">
        <v>3114</v>
      </c>
      <c r="V9" s="156" t="s">
        <v>3114</v>
      </c>
      <c r="W9" s="156" t="s">
        <v>3114</v>
      </c>
      <c r="X9" s="156" t="s">
        <v>3114</v>
      </c>
      <c r="Y9" s="156" t="s">
        <v>3114</v>
      </c>
      <c r="Z9" s="174" t="s">
        <v>3114</v>
      </c>
      <c r="AA9" s="156" t="s">
        <v>3114</v>
      </c>
      <c r="AB9" s="156" t="s">
        <v>3114</v>
      </c>
      <c r="AC9" s="156" t="s">
        <v>3114</v>
      </c>
      <c r="AD9" s="156" t="s">
        <v>3114</v>
      </c>
      <c r="AE9" s="156" t="s">
        <v>3114</v>
      </c>
      <c r="AF9" s="156" t="s">
        <v>3114</v>
      </c>
      <c r="AG9" s="156" t="s">
        <v>3114</v>
      </c>
      <c r="AH9" s="156" t="s">
        <v>3114</v>
      </c>
      <c r="AI9" s="156" t="s">
        <v>3114</v>
      </c>
      <c r="AJ9" s="156" t="s">
        <v>3114</v>
      </c>
      <c r="AK9" s="156" t="s">
        <v>3114</v>
      </c>
      <c r="AL9" s="156" t="s">
        <v>3114</v>
      </c>
      <c r="AM9" s="156" t="s">
        <v>3114</v>
      </c>
      <c r="AN9" s="156" t="s">
        <v>3114</v>
      </c>
      <c r="AO9" s="156" t="s">
        <v>3114</v>
      </c>
      <c r="AP9" s="156" t="s">
        <v>3114</v>
      </c>
      <c r="AQ9" s="156" t="s">
        <v>3114</v>
      </c>
      <c r="AR9" s="156" t="s">
        <v>3114</v>
      </c>
      <c r="AS9" s="156" t="s">
        <v>3114</v>
      </c>
      <c r="AT9" s="156" t="s">
        <v>3114</v>
      </c>
      <c r="AU9" s="156" t="s">
        <v>3114</v>
      </c>
      <c r="AV9" s="156" t="s">
        <v>3114</v>
      </c>
      <c r="AW9" s="156" t="s">
        <v>3114</v>
      </c>
      <c r="AX9" s="156" t="s">
        <v>3114</v>
      </c>
      <c r="AY9" s="156" t="s">
        <v>3114</v>
      </c>
      <c r="AZ9" s="156" t="s">
        <v>3114</v>
      </c>
      <c r="BA9" s="222" t="s">
        <v>3114</v>
      </c>
      <c r="BB9" s="222" t="s">
        <v>3114</v>
      </c>
      <c r="BC9" s="156" t="s">
        <v>3114</v>
      </c>
      <c r="BD9" s="156" t="s">
        <v>3114</v>
      </c>
      <c r="BE9" s="156" t="s">
        <v>3114</v>
      </c>
      <c r="BF9" s="156" t="s">
        <v>3114</v>
      </c>
      <c r="BG9" s="156" t="s">
        <v>3114</v>
      </c>
      <c r="BH9" s="156" t="s">
        <v>3114</v>
      </c>
      <c r="BI9" s="156" t="s">
        <v>3114</v>
      </c>
      <c r="BJ9" s="156" t="s">
        <v>3114</v>
      </c>
      <c r="BK9" s="156" t="s">
        <v>3114</v>
      </c>
      <c r="BL9" s="156" t="s">
        <v>3114</v>
      </c>
      <c r="BM9" s="156" t="s">
        <v>3114</v>
      </c>
      <c r="BN9" s="233" t="s">
        <v>3114</v>
      </c>
      <c r="BO9" s="233" t="s">
        <v>3114</v>
      </c>
      <c r="BP9" s="233" t="s">
        <v>3114</v>
      </c>
      <c r="BQ9" s="233" t="s">
        <v>3114</v>
      </c>
      <c r="BR9" s="234" t="s">
        <v>3114</v>
      </c>
      <c r="BS9" s="156" t="s">
        <v>3114</v>
      </c>
      <c r="BT9" s="156" t="s">
        <v>3114</v>
      </c>
      <c r="BU9" s="156" t="s">
        <v>3114</v>
      </c>
      <c r="BV9" s="156" t="s">
        <v>3114</v>
      </c>
      <c r="BW9" s="156" t="s">
        <v>3114</v>
      </c>
      <c r="BX9" s="156" t="s">
        <v>3114</v>
      </c>
      <c r="BY9" s="156" t="s">
        <v>3114</v>
      </c>
      <c r="BZ9" s="156" t="s">
        <v>3114</v>
      </c>
      <c r="CA9" s="156" t="s">
        <v>3114</v>
      </c>
      <c r="CB9" s="156" t="s">
        <v>3114</v>
      </c>
    </row>
    <row r="10" s="128" customFormat="1" ht="21" customHeight="1" spans="1:80">
      <c r="A10" s="157">
        <v>0</v>
      </c>
      <c r="B10" s="158">
        <v>0</v>
      </c>
      <c r="C10" s="159"/>
      <c r="D10" s="160">
        <v>2.66</v>
      </c>
      <c r="E10" s="160">
        <v>2.77</v>
      </c>
      <c r="F10" s="160">
        <v>2.66</v>
      </c>
      <c r="G10" s="160">
        <v>2.77</v>
      </c>
      <c r="H10" s="160">
        <v>2.64</v>
      </c>
      <c r="I10" s="160">
        <v>2.64</v>
      </c>
      <c r="J10" s="160">
        <v>2.64</v>
      </c>
      <c r="K10" s="160">
        <v>5.39</v>
      </c>
      <c r="L10" s="176">
        <v>5.34</v>
      </c>
      <c r="M10" s="176">
        <v>5.3</v>
      </c>
      <c r="N10" s="160">
        <v>5.3</v>
      </c>
      <c r="O10" s="177">
        <v>2.65</v>
      </c>
      <c r="P10" s="178">
        <v>2.65</v>
      </c>
      <c r="Q10" s="192">
        <v>5.34</v>
      </c>
      <c r="R10" s="192">
        <v>5.3</v>
      </c>
      <c r="S10" s="193">
        <v>2.585</v>
      </c>
      <c r="T10" s="160">
        <v>2.613957</v>
      </c>
      <c r="U10" s="160">
        <v>2.66213</v>
      </c>
      <c r="V10" s="160">
        <v>2.615092</v>
      </c>
      <c r="W10" s="160">
        <v>2.676826</v>
      </c>
      <c r="X10" s="194">
        <v>2.596773</v>
      </c>
      <c r="Y10" s="177">
        <v>2.616</v>
      </c>
      <c r="Z10" s="177">
        <v>2.58</v>
      </c>
      <c r="AA10" s="204">
        <v>2.596773</v>
      </c>
      <c r="AB10" s="204">
        <v>2.564786</v>
      </c>
      <c r="AC10" s="160">
        <v>2.66</v>
      </c>
      <c r="AD10" s="160">
        <v>2.7</v>
      </c>
      <c r="AE10" s="160">
        <v>2.66</v>
      </c>
      <c r="AF10" s="160">
        <v>2.7</v>
      </c>
      <c r="AG10" s="177">
        <v>2.633</v>
      </c>
      <c r="AH10" s="160">
        <v>2.66</v>
      </c>
      <c r="AI10" s="160">
        <v>2.7</v>
      </c>
      <c r="AJ10" s="160">
        <v>2.66</v>
      </c>
      <c r="AK10" s="160">
        <v>2.7</v>
      </c>
      <c r="AL10" s="204">
        <v>2.69239342857143</v>
      </c>
      <c r="AM10" s="177">
        <v>2.59</v>
      </c>
      <c r="AN10" s="177">
        <v>2.59</v>
      </c>
      <c r="AO10" s="160">
        <v>2.635</v>
      </c>
      <c r="AP10" s="160">
        <v>2.652021</v>
      </c>
      <c r="AQ10" s="160">
        <v>2.635</v>
      </c>
      <c r="AR10" s="160">
        <v>2.652021</v>
      </c>
      <c r="AS10" s="160">
        <v>2.635</v>
      </c>
      <c r="AT10" s="160">
        <v>2.652021</v>
      </c>
      <c r="AU10" s="160">
        <v>2.635</v>
      </c>
      <c r="AV10" s="160">
        <v>2.652021</v>
      </c>
      <c r="AW10" s="177">
        <v>2.635</v>
      </c>
      <c r="AX10" s="177">
        <v>2.652021</v>
      </c>
      <c r="AY10" s="160">
        <v>2.635</v>
      </c>
      <c r="AZ10" s="160">
        <v>2.652021</v>
      </c>
      <c r="BA10" s="183">
        <v>2.635</v>
      </c>
      <c r="BB10" s="183">
        <v>2.652021</v>
      </c>
      <c r="BC10" s="160">
        <v>2.708</v>
      </c>
      <c r="BD10" s="160">
        <v>2.651163</v>
      </c>
      <c r="BE10" s="160">
        <v>2.708636</v>
      </c>
      <c r="BF10" s="160">
        <v>2.70841</v>
      </c>
      <c r="BG10" s="160">
        <v>2.80841</v>
      </c>
      <c r="BH10" s="160">
        <v>2.6</v>
      </c>
      <c r="BI10" s="160">
        <v>2.61</v>
      </c>
      <c r="BJ10" s="177">
        <v>2.57</v>
      </c>
      <c r="BK10" s="160">
        <v>2.6</v>
      </c>
      <c r="BL10" s="160">
        <v>2.61</v>
      </c>
      <c r="BM10" s="160">
        <v>2.605</v>
      </c>
      <c r="BN10" s="177">
        <v>2.632</v>
      </c>
      <c r="BO10" s="177">
        <v>2.625</v>
      </c>
      <c r="BP10" s="235">
        <v>2.62</v>
      </c>
      <c r="BQ10" s="236">
        <v>2.63</v>
      </c>
      <c r="BR10" s="204">
        <v>2.59</v>
      </c>
      <c r="BS10" s="160">
        <v>2.661</v>
      </c>
      <c r="BT10" s="160">
        <v>2.661</v>
      </c>
      <c r="BU10" s="160">
        <v>2.661</v>
      </c>
      <c r="BV10" s="160">
        <v>2.661</v>
      </c>
      <c r="BW10" s="177">
        <v>2.661</v>
      </c>
      <c r="BX10" s="177">
        <v>2.661</v>
      </c>
      <c r="BY10" s="242">
        <v>2.67</v>
      </c>
      <c r="BZ10" s="204">
        <v>2.64</v>
      </c>
      <c r="CA10" s="242">
        <v>2.69</v>
      </c>
      <c r="CB10" s="160">
        <v>2.61</v>
      </c>
    </row>
    <row r="11" s="128" customFormat="1" ht="21" customHeight="1" spans="1:80">
      <c r="A11" s="157">
        <v>1</v>
      </c>
      <c r="B11" s="158">
        <v>1</v>
      </c>
      <c r="C11" s="159"/>
      <c r="D11" s="160">
        <v>2.66</v>
      </c>
      <c r="E11" s="160">
        <v>2.77</v>
      </c>
      <c r="F11" s="160">
        <v>2.66</v>
      </c>
      <c r="G11" s="160">
        <v>2.77</v>
      </c>
      <c r="H11" s="160">
        <v>2.64</v>
      </c>
      <c r="I11" s="160">
        <v>2.64</v>
      </c>
      <c r="J11" s="160">
        <v>2.64</v>
      </c>
      <c r="K11" s="160">
        <v>5.39</v>
      </c>
      <c r="L11" s="176">
        <v>5.34</v>
      </c>
      <c r="M11" s="176">
        <v>5.3</v>
      </c>
      <c r="N11" s="160">
        <v>5.3</v>
      </c>
      <c r="O11" s="179">
        <v>2.65</v>
      </c>
      <c r="P11" s="180">
        <v>2.65</v>
      </c>
      <c r="Q11" s="192">
        <v>5.34</v>
      </c>
      <c r="R11" s="192">
        <v>5.3</v>
      </c>
      <c r="S11" s="193">
        <v>2.585</v>
      </c>
      <c r="T11" s="160">
        <v>2.613957</v>
      </c>
      <c r="U11" s="160">
        <v>2.66213</v>
      </c>
      <c r="V11" s="160">
        <v>2.615092</v>
      </c>
      <c r="W11" s="160">
        <v>2.676826</v>
      </c>
      <c r="X11" s="194">
        <v>2.596773</v>
      </c>
      <c r="Y11" s="177">
        <v>2.616</v>
      </c>
      <c r="Z11" s="204">
        <v>2.58</v>
      </c>
      <c r="AA11" s="204">
        <v>2.596773</v>
      </c>
      <c r="AB11" s="204">
        <v>2.564786</v>
      </c>
      <c r="AC11" s="160">
        <v>2.66</v>
      </c>
      <c r="AD11" s="160">
        <v>2.7</v>
      </c>
      <c r="AE11" s="160">
        <v>2.66</v>
      </c>
      <c r="AF11" s="160">
        <v>2.7</v>
      </c>
      <c r="AG11" s="177">
        <v>2.633</v>
      </c>
      <c r="AH11" s="160">
        <v>2.66</v>
      </c>
      <c r="AI11" s="160">
        <v>2.7</v>
      </c>
      <c r="AJ11" s="160">
        <v>2.66</v>
      </c>
      <c r="AK11" s="160">
        <v>2.7</v>
      </c>
      <c r="AL11" s="204">
        <v>2.69239342857143</v>
      </c>
      <c r="AM11" s="177">
        <v>2.59</v>
      </c>
      <c r="AN11" s="177">
        <v>2.59</v>
      </c>
      <c r="AO11" s="160">
        <v>2.635</v>
      </c>
      <c r="AP11" s="160">
        <v>2.652021</v>
      </c>
      <c r="AQ11" s="160">
        <v>2.635</v>
      </c>
      <c r="AR11" s="160">
        <v>2.652021</v>
      </c>
      <c r="AS11" s="160">
        <v>2.635</v>
      </c>
      <c r="AT11" s="160">
        <v>2.652021</v>
      </c>
      <c r="AU11" s="160">
        <v>2.635</v>
      </c>
      <c r="AV11" s="160">
        <v>2.652021</v>
      </c>
      <c r="AW11" s="177">
        <v>2.635</v>
      </c>
      <c r="AX11" s="177">
        <v>2.652021</v>
      </c>
      <c r="AY11" s="160">
        <v>2.635</v>
      </c>
      <c r="AZ11" s="160">
        <v>2.652021</v>
      </c>
      <c r="BA11" s="183">
        <v>2.635</v>
      </c>
      <c r="BB11" s="183">
        <v>2.652021</v>
      </c>
      <c r="BC11" s="160">
        <v>2.708</v>
      </c>
      <c r="BD11" s="160">
        <v>2.651163</v>
      </c>
      <c r="BE11" s="160">
        <v>2.708636</v>
      </c>
      <c r="BF11" s="160">
        <v>2.70841</v>
      </c>
      <c r="BG11" s="160">
        <v>2.80841</v>
      </c>
      <c r="BH11" s="160">
        <v>2.6</v>
      </c>
      <c r="BI11" s="160">
        <v>2.61</v>
      </c>
      <c r="BJ11" s="177">
        <v>2.57</v>
      </c>
      <c r="BK11" s="160">
        <v>2.6</v>
      </c>
      <c r="BL11" s="160">
        <v>2.61</v>
      </c>
      <c r="BM11" s="160">
        <v>2.605</v>
      </c>
      <c r="BN11" s="177">
        <v>2.632</v>
      </c>
      <c r="BO11" s="177">
        <v>2.625</v>
      </c>
      <c r="BP11" s="235">
        <v>2.62</v>
      </c>
      <c r="BQ11" s="236">
        <v>2.63</v>
      </c>
      <c r="BR11" s="204">
        <v>2.59</v>
      </c>
      <c r="BS11" s="160">
        <v>2.661</v>
      </c>
      <c r="BT11" s="160">
        <v>2.661</v>
      </c>
      <c r="BU11" s="160">
        <v>2.661</v>
      </c>
      <c r="BV11" s="160">
        <v>2.661</v>
      </c>
      <c r="BW11" s="177">
        <v>2.661</v>
      </c>
      <c r="BX11" s="177">
        <v>2.661</v>
      </c>
      <c r="BY11" s="242">
        <v>2.67</v>
      </c>
      <c r="BZ11" s="204">
        <v>2.64</v>
      </c>
      <c r="CA11" s="242">
        <v>2.69</v>
      </c>
      <c r="CB11" s="160">
        <v>2.61</v>
      </c>
    </row>
    <row r="12" s="128" customFormat="1" ht="20.1" customHeight="1" spans="1:80">
      <c r="A12" s="157">
        <v>2</v>
      </c>
      <c r="B12" s="158">
        <v>2</v>
      </c>
      <c r="C12" s="159"/>
      <c r="D12" s="160">
        <v>2.69</v>
      </c>
      <c r="E12" s="160">
        <v>2.79</v>
      </c>
      <c r="F12" s="160">
        <v>2.69</v>
      </c>
      <c r="G12" s="160">
        <v>2.79</v>
      </c>
      <c r="H12" s="160">
        <v>2.66</v>
      </c>
      <c r="I12" s="160">
        <v>2.66</v>
      </c>
      <c r="J12" s="160">
        <v>2.66</v>
      </c>
      <c r="K12" s="160">
        <v>5.43</v>
      </c>
      <c r="L12" s="179">
        <v>5.39</v>
      </c>
      <c r="M12" s="176">
        <v>5.33</v>
      </c>
      <c r="N12" s="160">
        <v>5.33</v>
      </c>
      <c r="O12" s="179">
        <v>2.67</v>
      </c>
      <c r="P12" s="180">
        <v>2.67</v>
      </c>
      <c r="Q12" s="180">
        <v>5.39</v>
      </c>
      <c r="R12" s="192">
        <v>5.33</v>
      </c>
      <c r="S12" s="193">
        <v>2.64</v>
      </c>
      <c r="T12" s="160">
        <v>2.646223</v>
      </c>
      <c r="U12" s="160">
        <v>2.698167</v>
      </c>
      <c r="V12" s="160">
        <v>2.64744</v>
      </c>
      <c r="W12" s="160">
        <v>2.70669</v>
      </c>
      <c r="X12" s="194">
        <v>2.629254</v>
      </c>
      <c r="Y12" s="177">
        <v>2.648</v>
      </c>
      <c r="Z12" s="204">
        <v>2.62</v>
      </c>
      <c r="AA12" s="204">
        <v>2.629254</v>
      </c>
      <c r="AB12" s="204">
        <v>2.598543</v>
      </c>
      <c r="AC12" s="160">
        <v>2.68</v>
      </c>
      <c r="AD12" s="160">
        <v>2.73</v>
      </c>
      <c r="AE12" s="160">
        <v>2.68</v>
      </c>
      <c r="AF12" s="160">
        <v>2.73</v>
      </c>
      <c r="AG12" s="177">
        <v>2.65</v>
      </c>
      <c r="AH12" s="160">
        <v>2.68</v>
      </c>
      <c r="AI12" s="160">
        <v>2.73</v>
      </c>
      <c r="AJ12" s="160">
        <v>2.68</v>
      </c>
      <c r="AK12" s="160">
        <v>2.73</v>
      </c>
      <c r="AL12" s="204">
        <v>2.70449242857143</v>
      </c>
      <c r="AM12" s="177">
        <v>2.62</v>
      </c>
      <c r="AN12" s="177">
        <v>2.62</v>
      </c>
      <c r="AO12" s="160">
        <v>2.666</v>
      </c>
      <c r="AP12" s="160">
        <v>2.689545</v>
      </c>
      <c r="AQ12" s="160">
        <v>2.666</v>
      </c>
      <c r="AR12" s="160">
        <v>2.689545</v>
      </c>
      <c r="AS12" s="160">
        <v>2.666</v>
      </c>
      <c r="AT12" s="160">
        <v>2.689545</v>
      </c>
      <c r="AU12" s="160">
        <v>2.666</v>
      </c>
      <c r="AV12" s="160">
        <v>2.689545</v>
      </c>
      <c r="AW12" s="177">
        <v>2.666</v>
      </c>
      <c r="AX12" s="177">
        <v>2.689545</v>
      </c>
      <c r="AY12" s="160">
        <v>2.666</v>
      </c>
      <c r="AZ12" s="160">
        <v>2.689545</v>
      </c>
      <c r="BA12" s="183">
        <v>2.666</v>
      </c>
      <c r="BB12" s="183">
        <v>2.689545</v>
      </c>
      <c r="BC12" s="160">
        <v>2.735</v>
      </c>
      <c r="BD12" s="160">
        <v>2.681419</v>
      </c>
      <c r="BE12" s="160">
        <v>2.743311</v>
      </c>
      <c r="BF12" s="160">
        <v>2.734901</v>
      </c>
      <c r="BG12" s="160">
        <v>2.834901</v>
      </c>
      <c r="BH12" s="160">
        <v>2.63</v>
      </c>
      <c r="BI12" s="160">
        <v>2.65</v>
      </c>
      <c r="BJ12" s="177">
        <v>2.61</v>
      </c>
      <c r="BK12" s="160">
        <v>2.63</v>
      </c>
      <c r="BL12" s="160">
        <v>2.65</v>
      </c>
      <c r="BM12" s="160">
        <v>2.642</v>
      </c>
      <c r="BN12" s="177">
        <v>2.676</v>
      </c>
      <c r="BO12" s="177">
        <v>2.673</v>
      </c>
      <c r="BP12" s="235">
        <v>2.65</v>
      </c>
      <c r="BQ12" s="236">
        <v>2.67</v>
      </c>
      <c r="BR12" s="204">
        <v>2.62</v>
      </c>
      <c r="BS12" s="160">
        <v>2.693</v>
      </c>
      <c r="BT12" s="160">
        <v>2.693</v>
      </c>
      <c r="BU12" s="160">
        <v>2.693</v>
      </c>
      <c r="BV12" s="160">
        <v>2.693</v>
      </c>
      <c r="BW12" s="177">
        <v>2.693</v>
      </c>
      <c r="BX12" s="177">
        <v>2.693</v>
      </c>
      <c r="BY12" s="242">
        <v>2.7</v>
      </c>
      <c r="BZ12" s="204">
        <v>2.67</v>
      </c>
      <c r="CA12" s="242">
        <v>2.71</v>
      </c>
      <c r="CB12" s="160">
        <v>2.64</v>
      </c>
    </row>
    <row r="13" s="128" customFormat="1" ht="20.1" customHeight="1" spans="1:80">
      <c r="A13" s="157">
        <v>3</v>
      </c>
      <c r="B13" s="158">
        <v>3</v>
      </c>
      <c r="C13" s="159"/>
      <c r="D13" s="160">
        <v>2.71</v>
      </c>
      <c r="E13" s="160">
        <v>2.81</v>
      </c>
      <c r="F13" s="160">
        <v>2.71</v>
      </c>
      <c r="G13" s="160">
        <v>2.81</v>
      </c>
      <c r="H13" s="160">
        <v>2.68</v>
      </c>
      <c r="I13" s="160">
        <v>2.68</v>
      </c>
      <c r="J13" s="160">
        <v>2.68</v>
      </c>
      <c r="K13" s="160">
        <v>5.47</v>
      </c>
      <c r="L13" s="179">
        <v>5.43</v>
      </c>
      <c r="M13" s="176">
        <v>5.37</v>
      </c>
      <c r="N13" s="160">
        <v>5.37</v>
      </c>
      <c r="O13" s="179">
        <v>2.68</v>
      </c>
      <c r="P13" s="180">
        <v>2.68</v>
      </c>
      <c r="Q13" s="180">
        <v>5.43</v>
      </c>
      <c r="R13" s="192">
        <v>5.37</v>
      </c>
      <c r="S13" s="193">
        <v>2.665</v>
      </c>
      <c r="T13" s="160">
        <v>2.670617</v>
      </c>
      <c r="U13" s="160">
        <v>2.731609</v>
      </c>
      <c r="V13" s="160">
        <v>2.669716</v>
      </c>
      <c r="W13" s="160">
        <v>2.737305</v>
      </c>
      <c r="X13" s="194">
        <v>2.653341</v>
      </c>
      <c r="Y13" s="177">
        <v>2.671</v>
      </c>
      <c r="Z13" s="204">
        <v>2.64</v>
      </c>
      <c r="AA13" s="204">
        <v>2.653341</v>
      </c>
      <c r="AB13" s="204">
        <v>2.624154</v>
      </c>
      <c r="AC13" s="160">
        <v>2.7</v>
      </c>
      <c r="AD13" s="160">
        <v>2.76</v>
      </c>
      <c r="AE13" s="160">
        <v>2.7</v>
      </c>
      <c r="AF13" s="160">
        <v>2.76</v>
      </c>
      <c r="AG13" s="177">
        <v>2.666</v>
      </c>
      <c r="AH13" s="160">
        <v>2.7</v>
      </c>
      <c r="AI13" s="160">
        <v>2.76</v>
      </c>
      <c r="AJ13" s="160">
        <v>2.7</v>
      </c>
      <c r="AK13" s="160">
        <v>2.76</v>
      </c>
      <c r="AL13" s="204">
        <v>2.71677242857143</v>
      </c>
      <c r="AM13" s="177">
        <v>2.64</v>
      </c>
      <c r="AN13" s="177">
        <v>2.64</v>
      </c>
      <c r="AO13" s="160">
        <v>2.688</v>
      </c>
      <c r="AP13" s="160">
        <v>2.717651</v>
      </c>
      <c r="AQ13" s="160">
        <v>2.688</v>
      </c>
      <c r="AR13" s="160">
        <v>2.717651</v>
      </c>
      <c r="AS13" s="160">
        <v>2.688</v>
      </c>
      <c r="AT13" s="160">
        <v>2.717651</v>
      </c>
      <c r="AU13" s="160">
        <v>2.688</v>
      </c>
      <c r="AV13" s="160">
        <v>2.717651</v>
      </c>
      <c r="AW13" s="177">
        <v>2.688</v>
      </c>
      <c r="AX13" s="177">
        <v>2.717651</v>
      </c>
      <c r="AY13" s="160">
        <v>2.688</v>
      </c>
      <c r="AZ13" s="160">
        <v>2.717651</v>
      </c>
      <c r="BA13" s="183">
        <v>2.688</v>
      </c>
      <c r="BB13" s="183">
        <v>2.717651</v>
      </c>
      <c r="BC13" s="160">
        <v>2.753</v>
      </c>
      <c r="BD13" s="160">
        <v>2.703074</v>
      </c>
      <c r="BE13" s="160">
        <v>2.769208</v>
      </c>
      <c r="BF13" s="160">
        <v>2.753078</v>
      </c>
      <c r="BG13" s="160">
        <v>2.853078</v>
      </c>
      <c r="BH13" s="160">
        <v>2.66</v>
      </c>
      <c r="BI13" s="160">
        <v>2.68</v>
      </c>
      <c r="BJ13" s="177">
        <v>2.63</v>
      </c>
      <c r="BK13" s="160">
        <v>2.66</v>
      </c>
      <c r="BL13" s="160">
        <v>2.68</v>
      </c>
      <c r="BM13" s="160">
        <v>2.671</v>
      </c>
      <c r="BN13" s="177">
        <v>2.71</v>
      </c>
      <c r="BO13" s="177">
        <v>2.712</v>
      </c>
      <c r="BP13" s="235">
        <v>2.68</v>
      </c>
      <c r="BQ13" s="236">
        <v>2.69</v>
      </c>
      <c r="BR13" s="204">
        <v>2.65</v>
      </c>
      <c r="BS13" s="160">
        <v>2.715</v>
      </c>
      <c r="BT13" s="160">
        <v>2.715</v>
      </c>
      <c r="BU13" s="160">
        <v>2.715</v>
      </c>
      <c r="BV13" s="160">
        <v>2.715</v>
      </c>
      <c r="BW13" s="177">
        <v>2.715</v>
      </c>
      <c r="BX13" s="177">
        <v>2.715</v>
      </c>
      <c r="BY13" s="242">
        <v>2.72</v>
      </c>
      <c r="BZ13" s="204">
        <v>2.69</v>
      </c>
      <c r="CA13" s="242">
        <v>2.73</v>
      </c>
      <c r="CB13" s="160">
        <v>2.67</v>
      </c>
    </row>
    <row r="14" s="128" customFormat="1" ht="20.1" customHeight="1" spans="1:80">
      <c r="A14" s="157">
        <v>4</v>
      </c>
      <c r="B14" s="158">
        <v>4</v>
      </c>
      <c r="C14" s="159"/>
      <c r="D14" s="160">
        <v>2.72</v>
      </c>
      <c r="E14" s="160">
        <v>2.82</v>
      </c>
      <c r="F14" s="160">
        <v>2.72</v>
      </c>
      <c r="G14" s="160">
        <v>2.82</v>
      </c>
      <c r="H14" s="160">
        <v>2.7</v>
      </c>
      <c r="I14" s="160">
        <v>2.7</v>
      </c>
      <c r="J14" s="160">
        <v>2.7</v>
      </c>
      <c r="K14" s="160">
        <v>5.51</v>
      </c>
      <c r="L14" s="179">
        <v>5.46</v>
      </c>
      <c r="M14" s="176">
        <v>5.41</v>
      </c>
      <c r="N14" s="160">
        <v>5.41</v>
      </c>
      <c r="O14" s="179">
        <v>2.69</v>
      </c>
      <c r="P14" s="180">
        <v>2.69</v>
      </c>
      <c r="Q14" s="180">
        <v>5.46</v>
      </c>
      <c r="R14" s="192">
        <v>5.41</v>
      </c>
      <c r="S14" s="193">
        <v>2.667</v>
      </c>
      <c r="T14" s="160">
        <v>2.689056</v>
      </c>
      <c r="U14" s="160">
        <v>2.759772</v>
      </c>
      <c r="V14" s="160">
        <v>2.688235</v>
      </c>
      <c r="W14" s="160">
        <v>2.753129</v>
      </c>
      <c r="X14" s="194">
        <v>2.673902</v>
      </c>
      <c r="Y14" s="177">
        <v>2.691</v>
      </c>
      <c r="Z14" s="204">
        <v>2.67</v>
      </c>
      <c r="AA14" s="204">
        <v>2.673902</v>
      </c>
      <c r="AB14" s="204">
        <v>2.645986</v>
      </c>
      <c r="AC14" s="160">
        <v>2.71</v>
      </c>
      <c r="AD14" s="160">
        <v>2.78</v>
      </c>
      <c r="AE14" s="160">
        <v>2.71</v>
      </c>
      <c r="AF14" s="160">
        <v>2.78</v>
      </c>
      <c r="AG14" s="177">
        <v>2.682</v>
      </c>
      <c r="AH14" s="160">
        <v>2.71</v>
      </c>
      <c r="AI14" s="160">
        <v>2.78</v>
      </c>
      <c r="AJ14" s="160">
        <v>2.71</v>
      </c>
      <c r="AK14" s="160">
        <v>2.78</v>
      </c>
      <c r="AL14" s="204">
        <v>2.73347857142857</v>
      </c>
      <c r="AM14" s="177">
        <v>2.66</v>
      </c>
      <c r="AN14" s="177">
        <v>2.66</v>
      </c>
      <c r="AO14" s="160">
        <v>2.706</v>
      </c>
      <c r="AP14" s="160">
        <v>2.741751</v>
      </c>
      <c r="AQ14" s="160">
        <v>2.706</v>
      </c>
      <c r="AR14" s="160">
        <v>2.741751</v>
      </c>
      <c r="AS14" s="160">
        <v>2.706</v>
      </c>
      <c r="AT14" s="160">
        <v>2.741751</v>
      </c>
      <c r="AU14" s="160">
        <v>2.706</v>
      </c>
      <c r="AV14" s="160">
        <v>2.741751</v>
      </c>
      <c r="AW14" s="177">
        <v>2.706</v>
      </c>
      <c r="AX14" s="177">
        <v>2.741751</v>
      </c>
      <c r="AY14" s="160">
        <v>2.706</v>
      </c>
      <c r="AZ14" s="160">
        <v>2.741751</v>
      </c>
      <c r="BA14" s="183">
        <v>2.706</v>
      </c>
      <c r="BB14" s="183">
        <v>2.741751</v>
      </c>
      <c r="BC14" s="160">
        <v>2.767</v>
      </c>
      <c r="BD14" s="160">
        <v>2.720053</v>
      </c>
      <c r="BE14" s="160">
        <v>2.790115</v>
      </c>
      <c r="BF14" s="160">
        <v>2.766651</v>
      </c>
      <c r="BG14" s="160">
        <v>2.866651</v>
      </c>
      <c r="BH14" s="160">
        <v>2.68</v>
      </c>
      <c r="BI14" s="160">
        <v>2.7</v>
      </c>
      <c r="BJ14" s="177">
        <v>2.65</v>
      </c>
      <c r="BK14" s="160">
        <v>2.68</v>
      </c>
      <c r="BL14" s="160">
        <v>2.7</v>
      </c>
      <c r="BM14" s="160">
        <v>2.695</v>
      </c>
      <c r="BN14" s="177">
        <v>2.738</v>
      </c>
      <c r="BO14" s="177">
        <v>2.746</v>
      </c>
      <c r="BP14" s="235">
        <v>2.7</v>
      </c>
      <c r="BQ14" s="236">
        <v>2.72</v>
      </c>
      <c r="BR14" s="204">
        <v>2.67</v>
      </c>
      <c r="BS14" s="160">
        <v>2.732</v>
      </c>
      <c r="BT14" s="160">
        <v>2.732</v>
      </c>
      <c r="BU14" s="160">
        <v>2.732</v>
      </c>
      <c r="BV14" s="160">
        <v>2.732</v>
      </c>
      <c r="BW14" s="177">
        <v>2.732</v>
      </c>
      <c r="BX14" s="177">
        <v>2.732</v>
      </c>
      <c r="BY14" s="242">
        <v>2.74</v>
      </c>
      <c r="BZ14" s="204">
        <v>2.7</v>
      </c>
      <c r="CA14" s="242">
        <v>2.75</v>
      </c>
      <c r="CB14" s="160">
        <v>2.69</v>
      </c>
    </row>
    <row r="15" s="128" customFormat="1" ht="20.1" customHeight="1" spans="1:80">
      <c r="A15" s="157">
        <v>5</v>
      </c>
      <c r="B15" s="158">
        <v>5</v>
      </c>
      <c r="C15" s="159"/>
      <c r="D15" s="160">
        <v>2.75</v>
      </c>
      <c r="E15" s="160">
        <v>2.85</v>
      </c>
      <c r="F15" s="160">
        <v>2.75</v>
      </c>
      <c r="G15" s="160">
        <v>2.85</v>
      </c>
      <c r="H15" s="160">
        <v>2.71</v>
      </c>
      <c r="I15" s="160">
        <v>2.71</v>
      </c>
      <c r="J15" s="160">
        <v>2.71</v>
      </c>
      <c r="K15" s="160">
        <v>5.55</v>
      </c>
      <c r="L15" s="179">
        <v>5.49</v>
      </c>
      <c r="M15" s="176">
        <v>5.45</v>
      </c>
      <c r="N15" s="160">
        <v>5.45</v>
      </c>
      <c r="O15" s="179">
        <v>2.7</v>
      </c>
      <c r="P15" s="180">
        <v>2.7</v>
      </c>
      <c r="Q15" s="180">
        <v>5.49</v>
      </c>
      <c r="R15" s="192">
        <v>5.45</v>
      </c>
      <c r="S15" s="193">
        <v>2.685</v>
      </c>
      <c r="T15" s="160">
        <v>2.706877</v>
      </c>
      <c r="U15" s="160">
        <v>2.787356</v>
      </c>
      <c r="V15" s="160">
        <v>2.706333</v>
      </c>
      <c r="W15" s="160">
        <v>2.772443</v>
      </c>
      <c r="X15" s="194">
        <v>2.691632</v>
      </c>
      <c r="Y15" s="177">
        <v>2.707</v>
      </c>
      <c r="Z15" s="204">
        <v>2.68</v>
      </c>
      <c r="AA15" s="204">
        <v>2.691632</v>
      </c>
      <c r="AB15" s="204">
        <v>2.664921</v>
      </c>
      <c r="AC15" s="160">
        <v>2.73</v>
      </c>
      <c r="AD15" s="160">
        <v>2.8</v>
      </c>
      <c r="AE15" s="160">
        <v>2.73</v>
      </c>
      <c r="AF15" s="160">
        <v>2.8</v>
      </c>
      <c r="AG15" s="177">
        <v>2.697</v>
      </c>
      <c r="AH15" s="160">
        <v>2.73</v>
      </c>
      <c r="AI15" s="160">
        <v>2.8</v>
      </c>
      <c r="AJ15" s="160">
        <v>2.73</v>
      </c>
      <c r="AK15" s="160">
        <v>2.8</v>
      </c>
      <c r="AL15" s="204">
        <v>2.74724</v>
      </c>
      <c r="AM15" s="177">
        <v>2.67</v>
      </c>
      <c r="AN15" s="177">
        <v>2.68</v>
      </c>
      <c r="AO15" s="160">
        <v>2.723</v>
      </c>
      <c r="AP15" s="160">
        <v>2.763489</v>
      </c>
      <c r="AQ15" s="160">
        <v>2.723</v>
      </c>
      <c r="AR15" s="160">
        <v>2.763489</v>
      </c>
      <c r="AS15" s="160">
        <v>2.723</v>
      </c>
      <c r="AT15" s="160">
        <v>2.763489</v>
      </c>
      <c r="AU15" s="160">
        <v>2.723</v>
      </c>
      <c r="AV15" s="160">
        <v>2.763489</v>
      </c>
      <c r="AW15" s="177">
        <v>2.723</v>
      </c>
      <c r="AX15" s="177">
        <v>2.763489</v>
      </c>
      <c r="AY15" s="160">
        <v>2.723</v>
      </c>
      <c r="AZ15" s="160">
        <v>2.763489</v>
      </c>
      <c r="BA15" s="183">
        <v>2.723</v>
      </c>
      <c r="BB15" s="183">
        <v>2.763489</v>
      </c>
      <c r="BC15" s="160">
        <v>2.779</v>
      </c>
      <c r="BD15" s="160">
        <v>2.735579</v>
      </c>
      <c r="BE15" s="160">
        <v>2.80903</v>
      </c>
      <c r="BF15" s="160">
        <v>2.778735</v>
      </c>
      <c r="BG15" s="160">
        <v>2.878735</v>
      </c>
      <c r="BH15" s="160">
        <v>2.7</v>
      </c>
      <c r="BI15" s="160">
        <v>2.72</v>
      </c>
      <c r="BJ15" s="177">
        <v>2.67</v>
      </c>
      <c r="BK15" s="160">
        <v>2.7</v>
      </c>
      <c r="BL15" s="160">
        <v>2.72</v>
      </c>
      <c r="BM15" s="160">
        <v>2.718</v>
      </c>
      <c r="BN15" s="177">
        <v>2.765</v>
      </c>
      <c r="BO15" s="177">
        <v>2.778</v>
      </c>
      <c r="BP15" s="235">
        <v>2.72</v>
      </c>
      <c r="BQ15" s="236">
        <v>2.74</v>
      </c>
      <c r="BR15" s="204">
        <v>2.69</v>
      </c>
      <c r="BS15" s="160">
        <v>2.748</v>
      </c>
      <c r="BT15" s="160">
        <v>2.748</v>
      </c>
      <c r="BU15" s="160">
        <v>2.748</v>
      </c>
      <c r="BV15" s="160">
        <v>2.748</v>
      </c>
      <c r="BW15" s="177">
        <v>2.748</v>
      </c>
      <c r="BX15" s="177">
        <v>2.748</v>
      </c>
      <c r="BY15" s="242">
        <v>2.76</v>
      </c>
      <c r="BZ15" s="204">
        <v>2.72</v>
      </c>
      <c r="CA15" s="242">
        <v>2.76</v>
      </c>
      <c r="CB15" s="160">
        <v>2.7</v>
      </c>
    </row>
    <row r="16" s="128" customFormat="1" ht="20.1" customHeight="1" spans="1:80">
      <c r="A16" s="157">
        <v>6</v>
      </c>
      <c r="B16" s="158">
        <v>6</v>
      </c>
      <c r="C16" s="159"/>
      <c r="D16" s="160">
        <v>2.76</v>
      </c>
      <c r="E16" s="160">
        <v>2.86</v>
      </c>
      <c r="F16" s="160">
        <v>2.76</v>
      </c>
      <c r="G16" s="160">
        <v>2.86</v>
      </c>
      <c r="H16" s="160">
        <v>2.73</v>
      </c>
      <c r="I16" s="160">
        <v>2.73</v>
      </c>
      <c r="J16" s="160">
        <v>2.73</v>
      </c>
      <c r="K16" s="160">
        <v>5.58</v>
      </c>
      <c r="L16" s="179">
        <v>5.42</v>
      </c>
      <c r="M16" s="176">
        <v>5.47</v>
      </c>
      <c r="N16" s="160">
        <v>5.47</v>
      </c>
      <c r="O16" s="179">
        <v>2.71</v>
      </c>
      <c r="P16" s="180">
        <v>2.71</v>
      </c>
      <c r="Q16" s="180">
        <v>5.42</v>
      </c>
      <c r="R16" s="192">
        <v>5.47</v>
      </c>
      <c r="S16" s="193">
        <v>2.704</v>
      </c>
      <c r="T16" s="160">
        <v>2.722895</v>
      </c>
      <c r="U16" s="160">
        <v>2.812432</v>
      </c>
      <c r="V16" s="160">
        <v>2.721994</v>
      </c>
      <c r="W16" s="160">
        <v>2.790312</v>
      </c>
      <c r="X16" s="194">
        <v>2.709349</v>
      </c>
      <c r="Y16" s="177">
        <v>2.722</v>
      </c>
      <c r="Z16" s="204">
        <v>2.7</v>
      </c>
      <c r="AA16" s="204">
        <v>2.709349</v>
      </c>
      <c r="AB16" s="204">
        <v>2.683945</v>
      </c>
      <c r="AC16" s="160">
        <v>2.74</v>
      </c>
      <c r="AD16" s="160">
        <v>2.81</v>
      </c>
      <c r="AE16" s="160">
        <v>2.74</v>
      </c>
      <c r="AF16" s="160">
        <v>2.81</v>
      </c>
      <c r="AG16" s="177">
        <v>2.711</v>
      </c>
      <c r="AH16" s="160">
        <v>2.74</v>
      </c>
      <c r="AI16" s="160">
        <v>2.81</v>
      </c>
      <c r="AJ16" s="160">
        <v>2.74</v>
      </c>
      <c r="AK16" s="160">
        <v>2.81</v>
      </c>
      <c r="AL16" s="204">
        <v>2.75954428571429</v>
      </c>
      <c r="AM16" s="177">
        <v>2.69</v>
      </c>
      <c r="AN16" s="177">
        <v>2.7</v>
      </c>
      <c r="AO16" s="160">
        <v>2.738</v>
      </c>
      <c r="AP16" s="160">
        <v>2.783624</v>
      </c>
      <c r="AQ16" s="160">
        <v>2.738</v>
      </c>
      <c r="AR16" s="160">
        <v>2.783624</v>
      </c>
      <c r="AS16" s="160">
        <v>2.738</v>
      </c>
      <c r="AT16" s="160">
        <v>2.783624</v>
      </c>
      <c r="AU16" s="160">
        <v>2.738</v>
      </c>
      <c r="AV16" s="160">
        <v>2.783624</v>
      </c>
      <c r="AW16" s="177">
        <v>2.738</v>
      </c>
      <c r="AX16" s="177">
        <v>2.783624</v>
      </c>
      <c r="AY16" s="160">
        <v>2.738</v>
      </c>
      <c r="AZ16" s="160">
        <v>2.783624</v>
      </c>
      <c r="BA16" s="183">
        <v>2.738</v>
      </c>
      <c r="BB16" s="183">
        <v>2.783624</v>
      </c>
      <c r="BC16" s="160">
        <v>2.79</v>
      </c>
      <c r="BD16" s="160">
        <v>2.750093</v>
      </c>
      <c r="BE16" s="160">
        <v>2.826116</v>
      </c>
      <c r="BF16" s="160">
        <v>2.790013</v>
      </c>
      <c r="BG16" s="160">
        <v>2.890013</v>
      </c>
      <c r="BH16" s="160">
        <v>2.71</v>
      </c>
      <c r="BI16" s="160">
        <v>2.75</v>
      </c>
      <c r="BJ16" s="177">
        <v>2.69</v>
      </c>
      <c r="BK16" s="160">
        <v>2.71</v>
      </c>
      <c r="BL16" s="160">
        <v>2.75</v>
      </c>
      <c r="BM16" s="160">
        <v>2.739</v>
      </c>
      <c r="BN16" s="177">
        <v>2.79</v>
      </c>
      <c r="BO16" s="177">
        <v>2.809</v>
      </c>
      <c r="BP16" s="235">
        <v>2.73</v>
      </c>
      <c r="BQ16" s="236">
        <v>2.76</v>
      </c>
      <c r="BR16" s="204">
        <v>2.7</v>
      </c>
      <c r="BS16" s="160">
        <v>2.761</v>
      </c>
      <c r="BT16" s="160">
        <v>2.761</v>
      </c>
      <c r="BU16" s="160">
        <v>2.761</v>
      </c>
      <c r="BV16" s="160">
        <v>2.761</v>
      </c>
      <c r="BW16" s="177">
        <v>2.761</v>
      </c>
      <c r="BX16" s="177">
        <v>2.761</v>
      </c>
      <c r="BY16" s="242">
        <v>2.77</v>
      </c>
      <c r="BZ16" s="204">
        <v>2.74</v>
      </c>
      <c r="CA16" s="242">
        <v>2.77</v>
      </c>
      <c r="CB16" s="160">
        <v>2.72</v>
      </c>
    </row>
    <row r="17" s="128" customFormat="1" ht="20.1" customHeight="1" spans="1:80">
      <c r="A17" s="157">
        <v>7</v>
      </c>
      <c r="B17" s="158">
        <v>7</v>
      </c>
      <c r="C17" s="159"/>
      <c r="D17" s="160">
        <v>2.78</v>
      </c>
      <c r="E17" s="160">
        <v>2.88</v>
      </c>
      <c r="F17" s="160">
        <v>2.78</v>
      </c>
      <c r="G17" s="160">
        <v>2.88</v>
      </c>
      <c r="H17" s="160">
        <v>2.73</v>
      </c>
      <c r="I17" s="160">
        <v>2.73</v>
      </c>
      <c r="J17" s="160">
        <v>2.73</v>
      </c>
      <c r="K17" s="160">
        <v>5.62</v>
      </c>
      <c r="L17" s="179">
        <v>5.45</v>
      </c>
      <c r="M17" s="176">
        <v>5.49</v>
      </c>
      <c r="N17" s="160">
        <v>5.49</v>
      </c>
      <c r="O17" s="179">
        <v>2.72</v>
      </c>
      <c r="P17" s="180">
        <v>2.72</v>
      </c>
      <c r="Q17" s="180">
        <v>5.45</v>
      </c>
      <c r="R17" s="192">
        <v>5.49</v>
      </c>
      <c r="S17" s="193">
        <v>2.72</v>
      </c>
      <c r="T17" s="160">
        <v>2.738768</v>
      </c>
      <c r="U17" s="160">
        <v>2.833475</v>
      </c>
      <c r="V17" s="160">
        <v>2.73699</v>
      </c>
      <c r="W17" s="160">
        <v>2.807261</v>
      </c>
      <c r="X17" s="194">
        <v>2.724975</v>
      </c>
      <c r="Y17" s="177">
        <v>2.737</v>
      </c>
      <c r="Z17" s="204">
        <v>2.72</v>
      </c>
      <c r="AA17" s="204">
        <v>2.724975</v>
      </c>
      <c r="AB17" s="204">
        <v>2.701439</v>
      </c>
      <c r="AC17" s="160">
        <v>2.76</v>
      </c>
      <c r="AD17" s="160">
        <v>2.83</v>
      </c>
      <c r="AE17" s="160">
        <v>2.76</v>
      </c>
      <c r="AF17" s="160">
        <v>2.83</v>
      </c>
      <c r="AG17" s="177">
        <v>2.725</v>
      </c>
      <c r="AH17" s="160">
        <v>2.76</v>
      </c>
      <c r="AI17" s="160">
        <v>2.83</v>
      </c>
      <c r="AJ17" s="160">
        <v>2.76</v>
      </c>
      <c r="AK17" s="160">
        <v>2.83</v>
      </c>
      <c r="AL17" s="204">
        <v>2.77129142857143</v>
      </c>
      <c r="AM17" s="177">
        <v>2.7</v>
      </c>
      <c r="AN17" s="177">
        <v>2.72</v>
      </c>
      <c r="AO17" s="160">
        <v>2.752</v>
      </c>
      <c r="AP17" s="160">
        <v>2.802576</v>
      </c>
      <c r="AQ17" s="160">
        <v>2.752</v>
      </c>
      <c r="AR17" s="160">
        <v>2.802576</v>
      </c>
      <c r="AS17" s="160">
        <v>2.752</v>
      </c>
      <c r="AT17" s="160">
        <v>2.802576</v>
      </c>
      <c r="AU17" s="160">
        <v>2.752</v>
      </c>
      <c r="AV17" s="160">
        <v>2.802576</v>
      </c>
      <c r="AW17" s="177">
        <v>2.752</v>
      </c>
      <c r="AX17" s="177">
        <v>2.802576</v>
      </c>
      <c r="AY17" s="160">
        <v>2.752</v>
      </c>
      <c r="AZ17" s="160">
        <v>2.802576</v>
      </c>
      <c r="BA17" s="183">
        <v>2.752</v>
      </c>
      <c r="BB17" s="183">
        <v>2.802576</v>
      </c>
      <c r="BC17" s="160">
        <v>2.8</v>
      </c>
      <c r="BD17" s="160">
        <v>2.763037</v>
      </c>
      <c r="BE17" s="160">
        <v>2.842138</v>
      </c>
      <c r="BF17" s="160">
        <v>2.800199</v>
      </c>
      <c r="BG17" s="160">
        <v>2.900199</v>
      </c>
      <c r="BH17" s="160">
        <v>2.73</v>
      </c>
      <c r="BI17" s="160">
        <v>2.77</v>
      </c>
      <c r="BJ17" s="177">
        <v>2.71</v>
      </c>
      <c r="BK17" s="160">
        <v>2.73</v>
      </c>
      <c r="BL17" s="160">
        <v>2.77</v>
      </c>
      <c r="BM17" s="160">
        <v>2.76</v>
      </c>
      <c r="BN17" s="177">
        <v>2.813</v>
      </c>
      <c r="BO17" s="177">
        <v>2.838</v>
      </c>
      <c r="BP17" s="235">
        <v>2.75</v>
      </c>
      <c r="BQ17" s="236">
        <v>2.78</v>
      </c>
      <c r="BR17" s="204">
        <v>2.72</v>
      </c>
      <c r="BS17" s="160">
        <v>2.773</v>
      </c>
      <c r="BT17" s="160">
        <v>2.773</v>
      </c>
      <c r="BU17" s="160">
        <v>2.773</v>
      </c>
      <c r="BV17" s="160">
        <v>2.773</v>
      </c>
      <c r="BW17" s="177">
        <v>2.773</v>
      </c>
      <c r="BX17" s="177">
        <v>2.773</v>
      </c>
      <c r="BY17" s="242">
        <v>2.78</v>
      </c>
      <c r="BZ17" s="204">
        <v>2.75</v>
      </c>
      <c r="CA17" s="242">
        <v>2.78</v>
      </c>
      <c r="CB17" s="160">
        <v>2.74</v>
      </c>
    </row>
    <row r="18" s="128" customFormat="1" ht="20.1" customHeight="1" spans="1:80">
      <c r="A18" s="157">
        <v>8</v>
      </c>
      <c r="B18" s="158">
        <v>8</v>
      </c>
      <c r="C18" s="159"/>
      <c r="D18" s="160">
        <v>2.79</v>
      </c>
      <c r="E18" s="160">
        <v>2.89</v>
      </c>
      <c r="F18" s="160">
        <v>2.79</v>
      </c>
      <c r="G18" s="160">
        <v>2.89</v>
      </c>
      <c r="H18" s="160">
        <v>2.74</v>
      </c>
      <c r="I18" s="160">
        <v>2.74</v>
      </c>
      <c r="J18" s="160">
        <v>2.74</v>
      </c>
      <c r="K18" s="160">
        <v>5.65</v>
      </c>
      <c r="L18" s="179">
        <v>5.47</v>
      </c>
      <c r="M18" s="176">
        <v>5.51</v>
      </c>
      <c r="N18" s="160">
        <v>5.51</v>
      </c>
      <c r="O18" s="179">
        <v>2.73</v>
      </c>
      <c r="P18" s="180">
        <v>2.73</v>
      </c>
      <c r="Q18" s="180">
        <v>5.47</v>
      </c>
      <c r="R18" s="192">
        <v>5.51</v>
      </c>
      <c r="S18" s="193">
        <v>2.734</v>
      </c>
      <c r="T18" s="160">
        <v>2.752807</v>
      </c>
      <c r="U18" s="160">
        <v>2.857262</v>
      </c>
      <c r="V18" s="160">
        <v>2.75121</v>
      </c>
      <c r="W18" s="160">
        <v>2.826417</v>
      </c>
      <c r="X18" s="194">
        <v>2.740585</v>
      </c>
      <c r="Y18" s="177">
        <v>2.751</v>
      </c>
      <c r="Z18" s="204">
        <v>2.73</v>
      </c>
      <c r="AA18" s="204">
        <v>2.740585</v>
      </c>
      <c r="AB18" s="204">
        <v>2.717089</v>
      </c>
      <c r="AC18" s="160">
        <v>2.77</v>
      </c>
      <c r="AD18" s="160">
        <v>2.85</v>
      </c>
      <c r="AE18" s="160">
        <v>2.77</v>
      </c>
      <c r="AF18" s="160">
        <v>2.85</v>
      </c>
      <c r="AG18" s="177">
        <v>2.738</v>
      </c>
      <c r="AH18" s="160">
        <v>2.77</v>
      </c>
      <c r="AI18" s="160">
        <v>2.85</v>
      </c>
      <c r="AJ18" s="160">
        <v>2.77</v>
      </c>
      <c r="AK18" s="160">
        <v>2.85</v>
      </c>
      <c r="AL18" s="204">
        <v>2.78397428571429</v>
      </c>
      <c r="AM18" s="177">
        <v>2.72</v>
      </c>
      <c r="AN18" s="177">
        <v>2.73</v>
      </c>
      <c r="AO18" s="160">
        <v>2.765</v>
      </c>
      <c r="AP18" s="160">
        <v>2.819922</v>
      </c>
      <c r="AQ18" s="160">
        <v>2.765</v>
      </c>
      <c r="AR18" s="160">
        <v>2.819922</v>
      </c>
      <c r="AS18" s="160">
        <v>2.765</v>
      </c>
      <c r="AT18" s="160">
        <v>2.819922</v>
      </c>
      <c r="AU18" s="160">
        <v>2.765</v>
      </c>
      <c r="AV18" s="160">
        <v>2.819922</v>
      </c>
      <c r="AW18" s="177">
        <v>2.765</v>
      </c>
      <c r="AX18" s="177">
        <v>2.819922</v>
      </c>
      <c r="AY18" s="160">
        <v>2.765</v>
      </c>
      <c r="AZ18" s="160">
        <v>2.819922</v>
      </c>
      <c r="BA18" s="183">
        <v>2.765</v>
      </c>
      <c r="BB18" s="183">
        <v>2.819922</v>
      </c>
      <c r="BC18" s="160">
        <v>2.809</v>
      </c>
      <c r="BD18" s="160">
        <v>2.775259</v>
      </c>
      <c r="BE18" s="160">
        <v>2.85553</v>
      </c>
      <c r="BF18" s="160">
        <v>2.808453</v>
      </c>
      <c r="BG18" s="160">
        <v>2.908453</v>
      </c>
      <c r="BH18" s="160">
        <v>2.75</v>
      </c>
      <c r="BI18" s="160">
        <v>2.79</v>
      </c>
      <c r="BJ18" s="177">
        <v>2.72</v>
      </c>
      <c r="BK18" s="160">
        <v>2.75</v>
      </c>
      <c r="BL18" s="160">
        <v>2.79</v>
      </c>
      <c r="BM18" s="160">
        <v>2.779</v>
      </c>
      <c r="BN18" s="177">
        <v>2.835</v>
      </c>
      <c r="BO18" s="177">
        <v>2.867</v>
      </c>
      <c r="BP18" s="235">
        <v>2.76</v>
      </c>
      <c r="BQ18" s="236">
        <v>2.8</v>
      </c>
      <c r="BR18" s="204">
        <v>2.74</v>
      </c>
      <c r="BS18" s="160">
        <v>2.785</v>
      </c>
      <c r="BT18" s="160">
        <v>2.785</v>
      </c>
      <c r="BU18" s="160">
        <v>2.785</v>
      </c>
      <c r="BV18" s="160">
        <v>2.785</v>
      </c>
      <c r="BW18" s="177">
        <v>2.785</v>
      </c>
      <c r="BX18" s="177">
        <v>2.785</v>
      </c>
      <c r="BY18" s="242">
        <v>2.79</v>
      </c>
      <c r="BZ18" s="204">
        <v>2.76</v>
      </c>
      <c r="CA18" s="242">
        <v>2.79</v>
      </c>
      <c r="CB18" s="160">
        <v>2.75</v>
      </c>
    </row>
    <row r="19" s="128" customFormat="1" ht="18" customHeight="1" spans="1:80">
      <c r="A19" s="157">
        <v>9</v>
      </c>
      <c r="B19" s="158">
        <v>9</v>
      </c>
      <c r="C19" s="159"/>
      <c r="D19" s="160">
        <v>2.8</v>
      </c>
      <c r="E19" s="160">
        <v>2.9</v>
      </c>
      <c r="F19" s="160">
        <v>2.8</v>
      </c>
      <c r="G19" s="160">
        <v>2.9</v>
      </c>
      <c r="H19" s="160">
        <v>2.74</v>
      </c>
      <c r="I19" s="160">
        <v>2.74</v>
      </c>
      <c r="J19" s="160">
        <v>2.74</v>
      </c>
      <c r="K19" s="160">
        <v>5.68</v>
      </c>
      <c r="L19" s="179">
        <v>5.5</v>
      </c>
      <c r="M19" s="176">
        <v>5.53</v>
      </c>
      <c r="N19" s="160">
        <v>5.53</v>
      </c>
      <c r="O19" s="179">
        <v>2.74</v>
      </c>
      <c r="P19" s="180">
        <v>2.74</v>
      </c>
      <c r="Q19" s="180">
        <v>5.5</v>
      </c>
      <c r="R19" s="192">
        <v>5.53</v>
      </c>
      <c r="S19" s="193">
        <v>2.75</v>
      </c>
      <c r="T19" s="160">
        <v>2.767428</v>
      </c>
      <c r="U19" s="160">
        <v>2.874151</v>
      </c>
      <c r="V19" s="160">
        <v>2.765172</v>
      </c>
      <c r="W19" s="160">
        <v>2.844614</v>
      </c>
      <c r="X19" s="194">
        <v>2.75491</v>
      </c>
      <c r="Y19" s="177">
        <v>2.764</v>
      </c>
      <c r="Z19" s="204">
        <v>2.75</v>
      </c>
      <c r="AA19" s="204">
        <v>2.75491</v>
      </c>
      <c r="AB19" s="204">
        <v>2.734286</v>
      </c>
      <c r="AC19" s="160">
        <v>2.79</v>
      </c>
      <c r="AD19" s="160">
        <v>2.86</v>
      </c>
      <c r="AE19" s="160">
        <v>2.79</v>
      </c>
      <c r="AF19" s="160">
        <v>2.86</v>
      </c>
      <c r="AG19" s="177">
        <v>2.751</v>
      </c>
      <c r="AH19" s="160">
        <v>2.79</v>
      </c>
      <c r="AI19" s="160">
        <v>2.86</v>
      </c>
      <c r="AJ19" s="160">
        <v>2.79</v>
      </c>
      <c r="AK19" s="160">
        <v>2.86</v>
      </c>
      <c r="AL19" s="204">
        <v>2.79552142857143</v>
      </c>
      <c r="AM19" s="177">
        <v>2.73</v>
      </c>
      <c r="AN19" s="177">
        <v>2.75</v>
      </c>
      <c r="AO19" s="160">
        <v>2.778</v>
      </c>
      <c r="AP19" s="160">
        <v>2.837405</v>
      </c>
      <c r="AQ19" s="160">
        <v>2.778</v>
      </c>
      <c r="AR19" s="160">
        <v>2.837405</v>
      </c>
      <c r="AS19" s="160">
        <v>2.778</v>
      </c>
      <c r="AT19" s="160">
        <v>2.837405</v>
      </c>
      <c r="AU19" s="160">
        <v>2.778</v>
      </c>
      <c r="AV19" s="160">
        <v>2.837405</v>
      </c>
      <c r="AW19" s="177">
        <v>2.778</v>
      </c>
      <c r="AX19" s="177">
        <v>2.837405</v>
      </c>
      <c r="AY19" s="160">
        <v>2.778</v>
      </c>
      <c r="AZ19" s="160">
        <v>2.837405</v>
      </c>
      <c r="BA19" s="183">
        <v>2.778</v>
      </c>
      <c r="BB19" s="183">
        <v>2.837405</v>
      </c>
      <c r="BC19" s="160">
        <v>2.819</v>
      </c>
      <c r="BD19" s="160">
        <v>2.787772</v>
      </c>
      <c r="BE19" s="160">
        <v>2.871127</v>
      </c>
      <c r="BF19" s="160">
        <v>2.81909</v>
      </c>
      <c r="BG19" s="160">
        <v>2.91909</v>
      </c>
      <c r="BH19" s="160">
        <v>2.76</v>
      </c>
      <c r="BI19" s="160">
        <v>2.8</v>
      </c>
      <c r="BJ19" s="177">
        <v>2.74</v>
      </c>
      <c r="BK19" s="160">
        <v>2.76</v>
      </c>
      <c r="BL19" s="160">
        <v>2.8</v>
      </c>
      <c r="BM19" s="160">
        <v>2.798</v>
      </c>
      <c r="BN19" s="177">
        <v>2.857</v>
      </c>
      <c r="BO19" s="177">
        <v>2.895</v>
      </c>
      <c r="BP19" s="235">
        <v>2.77</v>
      </c>
      <c r="BQ19" s="236">
        <v>2.82</v>
      </c>
      <c r="BR19" s="204">
        <v>2.75</v>
      </c>
      <c r="BS19" s="160">
        <v>2.796</v>
      </c>
      <c r="BT19" s="160">
        <v>2.796</v>
      </c>
      <c r="BU19" s="160">
        <v>2.796</v>
      </c>
      <c r="BV19" s="160">
        <v>2.796</v>
      </c>
      <c r="BW19" s="177">
        <v>2.796</v>
      </c>
      <c r="BX19" s="177">
        <v>2.796</v>
      </c>
      <c r="BY19" s="242">
        <v>2.8</v>
      </c>
      <c r="BZ19" s="204">
        <v>2.78</v>
      </c>
      <c r="CA19" s="242">
        <v>2.8</v>
      </c>
      <c r="CB19" s="160">
        <v>2.77</v>
      </c>
    </row>
    <row r="20" s="128" customFormat="1" ht="18.75" customHeight="1" spans="1:80">
      <c r="A20" s="157">
        <v>10</v>
      </c>
      <c r="B20" s="158">
        <v>10</v>
      </c>
      <c r="C20" s="159"/>
      <c r="D20" s="160">
        <v>2.81</v>
      </c>
      <c r="E20" s="160">
        <v>2.91</v>
      </c>
      <c r="F20" s="160">
        <v>2.81</v>
      </c>
      <c r="G20" s="160">
        <v>2.91</v>
      </c>
      <c r="H20" s="160">
        <v>2.75</v>
      </c>
      <c r="I20" s="160">
        <v>2.75</v>
      </c>
      <c r="J20" s="160">
        <v>2.75</v>
      </c>
      <c r="K20" s="160">
        <v>5.71</v>
      </c>
      <c r="L20" s="179">
        <v>5.52</v>
      </c>
      <c r="M20" s="176">
        <v>5.56</v>
      </c>
      <c r="N20" s="160">
        <v>5.56</v>
      </c>
      <c r="O20" s="179">
        <v>2.75</v>
      </c>
      <c r="P20" s="180">
        <v>2.75</v>
      </c>
      <c r="Q20" s="180">
        <v>5.52</v>
      </c>
      <c r="R20" s="192">
        <v>5.56</v>
      </c>
      <c r="S20" s="193">
        <v>2.765</v>
      </c>
      <c r="T20" s="160">
        <v>2.779597</v>
      </c>
      <c r="U20" s="160">
        <v>2.888821</v>
      </c>
      <c r="V20" s="160">
        <v>2.779437</v>
      </c>
      <c r="W20" s="160">
        <v>2.859435</v>
      </c>
      <c r="X20" s="194">
        <v>2.76957</v>
      </c>
      <c r="Y20" s="177">
        <v>2.778</v>
      </c>
      <c r="Z20" s="204">
        <v>2.76</v>
      </c>
      <c r="AA20" s="204">
        <v>2.76957</v>
      </c>
      <c r="AB20" s="204">
        <v>2.750335</v>
      </c>
      <c r="AC20" s="160">
        <v>2.8</v>
      </c>
      <c r="AD20" s="160">
        <v>2.88</v>
      </c>
      <c r="AE20" s="160">
        <v>2.8</v>
      </c>
      <c r="AF20" s="160">
        <v>2.88</v>
      </c>
      <c r="AG20" s="177">
        <v>2.763</v>
      </c>
      <c r="AH20" s="160">
        <v>2.8</v>
      </c>
      <c r="AI20" s="160">
        <v>2.88</v>
      </c>
      <c r="AJ20" s="160">
        <v>2.8</v>
      </c>
      <c r="AK20" s="160">
        <v>2.88</v>
      </c>
      <c r="AL20" s="204">
        <v>2.80399</v>
      </c>
      <c r="AM20" s="177">
        <v>2.74</v>
      </c>
      <c r="AN20" s="177">
        <v>2.76</v>
      </c>
      <c r="AO20" s="160">
        <v>2.79</v>
      </c>
      <c r="AP20" s="160">
        <v>2.85421</v>
      </c>
      <c r="AQ20" s="160">
        <v>2.79</v>
      </c>
      <c r="AR20" s="160">
        <v>2.85421</v>
      </c>
      <c r="AS20" s="160">
        <v>2.79</v>
      </c>
      <c r="AT20" s="160">
        <v>2.85421</v>
      </c>
      <c r="AU20" s="160">
        <v>2.79</v>
      </c>
      <c r="AV20" s="160">
        <v>2.85421</v>
      </c>
      <c r="AW20" s="177">
        <v>2.79</v>
      </c>
      <c r="AX20" s="177">
        <v>2.85421</v>
      </c>
      <c r="AY20" s="160">
        <v>2.79</v>
      </c>
      <c r="AZ20" s="160">
        <v>2.85421</v>
      </c>
      <c r="BA20" s="183">
        <v>2.79</v>
      </c>
      <c r="BB20" s="183">
        <v>2.85421</v>
      </c>
      <c r="BC20" s="160">
        <v>2.827</v>
      </c>
      <c r="BD20" s="160">
        <v>2.798679</v>
      </c>
      <c r="BE20" s="160">
        <v>2.884293</v>
      </c>
      <c r="BF20" s="160">
        <v>2.826762</v>
      </c>
      <c r="BG20" s="160">
        <v>2.926762</v>
      </c>
      <c r="BH20" s="160">
        <v>2.77</v>
      </c>
      <c r="BI20" s="160">
        <v>2.82</v>
      </c>
      <c r="BJ20" s="177">
        <v>2.75</v>
      </c>
      <c r="BK20" s="160">
        <v>2.77</v>
      </c>
      <c r="BL20" s="160">
        <v>2.82</v>
      </c>
      <c r="BM20" s="160">
        <v>2.816</v>
      </c>
      <c r="BN20" s="177">
        <v>2.878</v>
      </c>
      <c r="BO20" s="177">
        <v>2.923</v>
      </c>
      <c r="BP20" s="235">
        <v>2.79</v>
      </c>
      <c r="BQ20" s="236">
        <v>2.84</v>
      </c>
      <c r="BR20" s="204">
        <v>2.77</v>
      </c>
      <c r="BS20" s="160">
        <v>2.806</v>
      </c>
      <c r="BT20" s="160">
        <v>2.806</v>
      </c>
      <c r="BU20" s="160">
        <v>2.806</v>
      </c>
      <c r="BV20" s="160">
        <v>2.806</v>
      </c>
      <c r="BW20" s="177">
        <v>2.806</v>
      </c>
      <c r="BX20" s="177">
        <v>2.806</v>
      </c>
      <c r="BY20" s="242">
        <v>2.81</v>
      </c>
      <c r="BZ20" s="204">
        <v>2.79</v>
      </c>
      <c r="CA20" s="242">
        <v>2.81</v>
      </c>
      <c r="CB20" s="160">
        <v>2.78</v>
      </c>
    </row>
    <row r="21" s="128" customFormat="1" ht="20.1" customHeight="1" spans="1:80">
      <c r="A21" s="157">
        <v>11</v>
      </c>
      <c r="B21" s="158">
        <v>11</v>
      </c>
      <c r="C21" s="159"/>
      <c r="D21" s="160">
        <v>2.82</v>
      </c>
      <c r="E21" s="160">
        <v>2.92</v>
      </c>
      <c r="F21" s="160">
        <v>2.82</v>
      </c>
      <c r="G21" s="160">
        <v>2.92</v>
      </c>
      <c r="H21" s="160">
        <v>2.76</v>
      </c>
      <c r="I21" s="160">
        <v>2.76</v>
      </c>
      <c r="J21" s="160">
        <v>2.76</v>
      </c>
      <c r="K21" s="160">
        <v>5.72</v>
      </c>
      <c r="L21" s="179">
        <v>5.54</v>
      </c>
      <c r="M21" s="176">
        <v>5.58</v>
      </c>
      <c r="N21" s="160">
        <v>5.58</v>
      </c>
      <c r="O21" s="179">
        <v>2.76</v>
      </c>
      <c r="P21" s="180">
        <v>2.76</v>
      </c>
      <c r="Q21" s="180">
        <v>5.54</v>
      </c>
      <c r="R21" s="192">
        <v>5.58</v>
      </c>
      <c r="S21" s="193">
        <v>2.78</v>
      </c>
      <c r="T21" s="160">
        <v>2.793194</v>
      </c>
      <c r="U21" s="160">
        <v>2.902086</v>
      </c>
      <c r="V21" s="160">
        <v>2.791905</v>
      </c>
      <c r="W21" s="160">
        <v>2.875906</v>
      </c>
      <c r="X21" s="194">
        <v>2.78375</v>
      </c>
      <c r="Y21" s="177">
        <v>2.791</v>
      </c>
      <c r="Z21" s="204">
        <v>2.78</v>
      </c>
      <c r="AA21" s="204">
        <v>2.78375</v>
      </c>
      <c r="AB21" s="204">
        <v>2.765906</v>
      </c>
      <c r="AC21" s="160">
        <v>2.82</v>
      </c>
      <c r="AD21" s="160">
        <v>2.89</v>
      </c>
      <c r="AE21" s="160">
        <v>2.82</v>
      </c>
      <c r="AF21" s="160">
        <v>2.89</v>
      </c>
      <c r="AG21" s="177">
        <v>2.774</v>
      </c>
      <c r="AH21" s="160">
        <v>2.82</v>
      </c>
      <c r="AI21" s="160">
        <v>2.89</v>
      </c>
      <c r="AJ21" s="160">
        <v>2.82</v>
      </c>
      <c r="AK21" s="160">
        <v>2.89</v>
      </c>
      <c r="AL21" s="204">
        <v>2.81567</v>
      </c>
      <c r="AM21" s="177">
        <v>2.75</v>
      </c>
      <c r="AN21" s="177">
        <v>2.78</v>
      </c>
      <c r="AO21" s="160">
        <v>2.802</v>
      </c>
      <c r="AP21" s="160">
        <v>2.870566</v>
      </c>
      <c r="AQ21" s="160">
        <v>2.802</v>
      </c>
      <c r="AR21" s="160">
        <v>2.870566</v>
      </c>
      <c r="AS21" s="160">
        <v>2.802</v>
      </c>
      <c r="AT21" s="160">
        <v>2.870566</v>
      </c>
      <c r="AU21" s="160">
        <v>2.802</v>
      </c>
      <c r="AV21" s="160">
        <v>2.870566</v>
      </c>
      <c r="AW21" s="177">
        <v>2.802</v>
      </c>
      <c r="AX21" s="177">
        <v>2.870566</v>
      </c>
      <c r="AY21" s="160">
        <v>2.802</v>
      </c>
      <c r="AZ21" s="160">
        <v>2.870566</v>
      </c>
      <c r="BA21" s="183">
        <v>2.802</v>
      </c>
      <c r="BB21" s="183">
        <v>2.870566</v>
      </c>
      <c r="BC21" s="160">
        <v>2.835</v>
      </c>
      <c r="BD21" s="160">
        <v>2.810158</v>
      </c>
      <c r="BE21" s="160">
        <v>2.89735</v>
      </c>
      <c r="BF21" s="160">
        <v>2.83477</v>
      </c>
      <c r="BG21" s="160">
        <v>2.93477</v>
      </c>
      <c r="BH21" s="160">
        <v>2.79</v>
      </c>
      <c r="BI21" s="160">
        <v>2.84</v>
      </c>
      <c r="BJ21" s="177">
        <v>2.77</v>
      </c>
      <c r="BK21" s="160">
        <v>2.79</v>
      </c>
      <c r="BL21" s="160">
        <v>2.84</v>
      </c>
      <c r="BM21" s="160">
        <v>2.835</v>
      </c>
      <c r="BN21" s="177">
        <v>2.899</v>
      </c>
      <c r="BO21" s="177">
        <v>2.95</v>
      </c>
      <c r="BP21" s="235">
        <v>2.8</v>
      </c>
      <c r="BQ21" s="236">
        <v>2.85</v>
      </c>
      <c r="BR21" s="204">
        <v>2.78</v>
      </c>
      <c r="BS21" s="160">
        <v>2.816</v>
      </c>
      <c r="BT21" s="160">
        <v>2.816</v>
      </c>
      <c r="BU21" s="160">
        <v>2.816</v>
      </c>
      <c r="BV21" s="160">
        <v>2.816</v>
      </c>
      <c r="BW21" s="177">
        <v>2.816</v>
      </c>
      <c r="BX21" s="177">
        <v>2.816</v>
      </c>
      <c r="BY21" s="242">
        <v>2.82</v>
      </c>
      <c r="BZ21" s="204">
        <v>2.8</v>
      </c>
      <c r="CA21" s="242">
        <v>2.82</v>
      </c>
      <c r="CB21" s="160">
        <v>2.79</v>
      </c>
    </row>
    <row r="22" s="128" customFormat="1" ht="20.1" customHeight="1" spans="1:80">
      <c r="A22" s="157">
        <v>12</v>
      </c>
      <c r="B22" s="158">
        <v>12</v>
      </c>
      <c r="C22" s="159"/>
      <c r="D22" s="160">
        <v>2.83</v>
      </c>
      <c r="E22" s="160">
        <v>2.93</v>
      </c>
      <c r="F22" s="160">
        <v>2.83</v>
      </c>
      <c r="G22" s="160">
        <v>2.93</v>
      </c>
      <c r="H22" s="160">
        <v>2.77</v>
      </c>
      <c r="I22" s="160">
        <v>2.77</v>
      </c>
      <c r="J22" s="160">
        <v>2.77</v>
      </c>
      <c r="K22" s="160">
        <v>5.74</v>
      </c>
      <c r="L22" s="179">
        <v>5.55</v>
      </c>
      <c r="M22" s="176">
        <v>5.6</v>
      </c>
      <c r="N22" s="160">
        <v>5.6</v>
      </c>
      <c r="O22" s="179">
        <v>2.77</v>
      </c>
      <c r="P22" s="180">
        <v>2.77</v>
      </c>
      <c r="Q22" s="180">
        <v>5.55</v>
      </c>
      <c r="R22" s="192">
        <v>5.6</v>
      </c>
      <c r="S22" s="193">
        <v>2.794</v>
      </c>
      <c r="T22" s="160">
        <v>2.805895</v>
      </c>
      <c r="U22" s="160">
        <v>2.915589</v>
      </c>
      <c r="V22" s="160">
        <v>2.804495</v>
      </c>
      <c r="W22" s="160">
        <v>2.889267</v>
      </c>
      <c r="X22" s="194">
        <v>2.797451</v>
      </c>
      <c r="Y22" s="177">
        <v>2.803</v>
      </c>
      <c r="Z22" s="204">
        <v>2.79</v>
      </c>
      <c r="AA22" s="204">
        <v>2.797451</v>
      </c>
      <c r="AB22" s="204">
        <v>2.779533</v>
      </c>
      <c r="AC22" s="160">
        <v>2.82</v>
      </c>
      <c r="AD22" s="160">
        <v>2.9</v>
      </c>
      <c r="AE22" s="160">
        <v>2.82</v>
      </c>
      <c r="AF22" s="160">
        <v>2.9</v>
      </c>
      <c r="AG22" s="177">
        <v>2.785</v>
      </c>
      <c r="AH22" s="160">
        <v>2.82</v>
      </c>
      <c r="AI22" s="160">
        <v>2.9</v>
      </c>
      <c r="AJ22" s="160">
        <v>2.82</v>
      </c>
      <c r="AK22" s="160">
        <v>2.9</v>
      </c>
      <c r="AL22" s="204">
        <v>2.82477285714286</v>
      </c>
      <c r="AM22" s="177">
        <v>2.76</v>
      </c>
      <c r="AN22" s="177">
        <v>2.79</v>
      </c>
      <c r="AO22" s="160">
        <v>2.814</v>
      </c>
      <c r="AP22" s="160">
        <v>2.88635</v>
      </c>
      <c r="AQ22" s="160">
        <v>2.814</v>
      </c>
      <c r="AR22" s="160">
        <v>2.88635</v>
      </c>
      <c r="AS22" s="160">
        <v>2.814</v>
      </c>
      <c r="AT22" s="160">
        <v>2.88635</v>
      </c>
      <c r="AU22" s="160">
        <v>2.814</v>
      </c>
      <c r="AV22" s="160">
        <v>2.88635</v>
      </c>
      <c r="AW22" s="177">
        <v>2.814</v>
      </c>
      <c r="AX22" s="177">
        <v>2.88635</v>
      </c>
      <c r="AY22" s="160">
        <v>2.814</v>
      </c>
      <c r="AZ22" s="160">
        <v>2.88635</v>
      </c>
      <c r="BA22" s="183">
        <v>2.814</v>
      </c>
      <c r="BB22" s="183">
        <v>2.88635</v>
      </c>
      <c r="BC22" s="160">
        <v>2.843</v>
      </c>
      <c r="BD22" s="160">
        <v>2.820547</v>
      </c>
      <c r="BE22" s="160">
        <v>2.910661</v>
      </c>
      <c r="BF22" s="160">
        <v>2.84281</v>
      </c>
      <c r="BG22" s="160">
        <v>2.94281</v>
      </c>
      <c r="BH22" s="160">
        <v>2.8</v>
      </c>
      <c r="BI22" s="160">
        <v>2.86</v>
      </c>
      <c r="BJ22" s="177">
        <v>2.78</v>
      </c>
      <c r="BK22" s="160">
        <v>2.8</v>
      </c>
      <c r="BL22" s="160">
        <v>2.86</v>
      </c>
      <c r="BM22" s="160">
        <v>2.852</v>
      </c>
      <c r="BN22" s="177">
        <v>2.919</v>
      </c>
      <c r="BO22" s="177">
        <v>2.977</v>
      </c>
      <c r="BP22" s="235">
        <v>2.81</v>
      </c>
      <c r="BQ22" s="236">
        <v>2.87</v>
      </c>
      <c r="BR22" s="204">
        <v>2.79</v>
      </c>
      <c r="BS22" s="160">
        <v>2.825</v>
      </c>
      <c r="BT22" s="160">
        <v>2.825</v>
      </c>
      <c r="BU22" s="160">
        <v>2.825</v>
      </c>
      <c r="BV22" s="160">
        <v>2.825</v>
      </c>
      <c r="BW22" s="177">
        <v>2.825</v>
      </c>
      <c r="BX22" s="177">
        <v>2.825</v>
      </c>
      <c r="BY22" s="242">
        <v>2.83</v>
      </c>
      <c r="BZ22" s="204">
        <v>2.81</v>
      </c>
      <c r="CA22" s="242">
        <v>2.83</v>
      </c>
      <c r="CB22" s="160">
        <v>2.81</v>
      </c>
    </row>
    <row r="23" s="128" customFormat="1" ht="20.1" customHeight="1" spans="1:80">
      <c r="A23" s="157">
        <v>13</v>
      </c>
      <c r="B23" s="158">
        <v>13</v>
      </c>
      <c r="C23" s="159"/>
      <c r="D23" s="160">
        <v>2.84</v>
      </c>
      <c r="E23" s="160">
        <v>2.94</v>
      </c>
      <c r="F23" s="160">
        <v>2.84</v>
      </c>
      <c r="G23" s="160">
        <v>2.94</v>
      </c>
      <c r="H23" s="160">
        <v>2.78</v>
      </c>
      <c r="I23" s="160">
        <v>2.78</v>
      </c>
      <c r="J23" s="160">
        <v>2.78</v>
      </c>
      <c r="K23" s="160">
        <v>5.76</v>
      </c>
      <c r="L23" s="179">
        <v>5.57</v>
      </c>
      <c r="M23" s="176">
        <v>5.62</v>
      </c>
      <c r="N23" s="160">
        <v>5.62</v>
      </c>
      <c r="O23" s="179">
        <v>2.78</v>
      </c>
      <c r="P23" s="180">
        <v>2.78</v>
      </c>
      <c r="Q23" s="180">
        <v>5.57</v>
      </c>
      <c r="R23" s="192">
        <v>5.62</v>
      </c>
      <c r="S23" s="193">
        <v>2.809</v>
      </c>
      <c r="T23" s="160">
        <v>2.817931</v>
      </c>
      <c r="U23" s="160">
        <v>2.92896</v>
      </c>
      <c r="V23" s="160">
        <v>2.815636</v>
      </c>
      <c r="W23" s="160">
        <v>2.903862</v>
      </c>
      <c r="X23" s="194">
        <v>2.811133</v>
      </c>
      <c r="Y23" s="177">
        <v>2.815</v>
      </c>
      <c r="Z23" s="204">
        <v>2.81</v>
      </c>
      <c r="AA23" s="204">
        <v>2.811133</v>
      </c>
      <c r="AB23" s="204">
        <v>2.795782</v>
      </c>
      <c r="AC23" s="160">
        <v>2.83</v>
      </c>
      <c r="AD23" s="160">
        <v>2.92</v>
      </c>
      <c r="AE23" s="160">
        <v>2.83</v>
      </c>
      <c r="AF23" s="160">
        <v>2.92</v>
      </c>
      <c r="AG23" s="177">
        <v>2.795</v>
      </c>
      <c r="AH23" s="160">
        <v>2.83</v>
      </c>
      <c r="AI23" s="160">
        <v>2.92</v>
      </c>
      <c r="AJ23" s="160">
        <v>2.83</v>
      </c>
      <c r="AK23" s="160">
        <v>2.92</v>
      </c>
      <c r="AL23" s="204">
        <v>2.83378</v>
      </c>
      <c r="AM23" s="177">
        <v>2.78</v>
      </c>
      <c r="AN23" s="177">
        <v>2.8</v>
      </c>
      <c r="AO23" s="160">
        <v>2.825</v>
      </c>
      <c r="AP23" s="160">
        <v>2.901658</v>
      </c>
      <c r="AQ23" s="160">
        <v>2.825</v>
      </c>
      <c r="AR23" s="160">
        <v>2.901658</v>
      </c>
      <c r="AS23" s="160">
        <v>2.825</v>
      </c>
      <c r="AT23" s="160">
        <v>2.901658</v>
      </c>
      <c r="AU23" s="160">
        <v>2.825</v>
      </c>
      <c r="AV23" s="160">
        <v>2.901658</v>
      </c>
      <c r="AW23" s="177">
        <v>2.825</v>
      </c>
      <c r="AX23" s="177">
        <v>2.901658</v>
      </c>
      <c r="AY23" s="160">
        <v>2.825</v>
      </c>
      <c r="AZ23" s="160">
        <v>2.901658</v>
      </c>
      <c r="BA23" s="183">
        <v>2.825</v>
      </c>
      <c r="BB23" s="183">
        <v>2.901658</v>
      </c>
      <c r="BC23" s="160">
        <v>2.851</v>
      </c>
      <c r="BD23" s="160">
        <v>2.831959</v>
      </c>
      <c r="BE23" s="160">
        <v>2.92233</v>
      </c>
      <c r="BF23" s="160">
        <v>2.850711</v>
      </c>
      <c r="BG23" s="160">
        <v>2.950711</v>
      </c>
      <c r="BH23" s="160">
        <v>2.81</v>
      </c>
      <c r="BI23" s="160">
        <v>2.88</v>
      </c>
      <c r="BJ23" s="177">
        <v>2.8</v>
      </c>
      <c r="BK23" s="160">
        <v>2.81</v>
      </c>
      <c r="BL23" s="160">
        <v>2.88</v>
      </c>
      <c r="BM23" s="160">
        <v>2.87</v>
      </c>
      <c r="BN23" s="177">
        <v>2.938</v>
      </c>
      <c r="BO23" s="177">
        <v>3.003</v>
      </c>
      <c r="BP23" s="235">
        <v>2.82</v>
      </c>
      <c r="BQ23" s="236">
        <v>2.89</v>
      </c>
      <c r="BR23" s="204">
        <v>2.81</v>
      </c>
      <c r="BS23" s="160">
        <v>2.834</v>
      </c>
      <c r="BT23" s="160">
        <v>2.834</v>
      </c>
      <c r="BU23" s="160">
        <v>2.834</v>
      </c>
      <c r="BV23" s="160">
        <v>2.834</v>
      </c>
      <c r="BW23" s="177">
        <v>2.834</v>
      </c>
      <c r="BX23" s="177">
        <v>2.834</v>
      </c>
      <c r="BY23" s="242">
        <v>2.84</v>
      </c>
      <c r="BZ23" s="204">
        <v>2.82</v>
      </c>
      <c r="CA23" s="242">
        <v>2.84</v>
      </c>
      <c r="CB23" s="160">
        <v>2.82</v>
      </c>
    </row>
    <row r="24" s="128" customFormat="1" ht="20.1" customHeight="1" spans="1:80">
      <c r="A24" s="157">
        <v>14</v>
      </c>
      <c r="B24" s="158">
        <v>14</v>
      </c>
      <c r="C24" s="159"/>
      <c r="D24" s="160">
        <v>2.85</v>
      </c>
      <c r="E24" s="160">
        <v>2.95</v>
      </c>
      <c r="F24" s="160">
        <v>2.85</v>
      </c>
      <c r="G24" s="160">
        <v>2.95</v>
      </c>
      <c r="H24" s="160">
        <v>2.79</v>
      </c>
      <c r="I24" s="160">
        <v>2.79</v>
      </c>
      <c r="J24" s="160">
        <v>2.79</v>
      </c>
      <c r="K24" s="160">
        <v>5.78</v>
      </c>
      <c r="L24" s="179">
        <v>5.59</v>
      </c>
      <c r="M24" s="176">
        <v>5.64</v>
      </c>
      <c r="N24" s="160">
        <v>5.64</v>
      </c>
      <c r="O24" s="179">
        <v>2.79</v>
      </c>
      <c r="P24" s="180">
        <v>2.79</v>
      </c>
      <c r="Q24" s="180">
        <v>5.59</v>
      </c>
      <c r="R24" s="192">
        <v>5.64</v>
      </c>
      <c r="S24" s="193">
        <v>2.823</v>
      </c>
      <c r="T24" s="160">
        <v>2.829419</v>
      </c>
      <c r="U24" s="160">
        <v>2.939039</v>
      </c>
      <c r="V24" s="160">
        <v>2.828405</v>
      </c>
      <c r="W24" s="160">
        <v>2.916869</v>
      </c>
      <c r="X24" s="194">
        <v>2.82442</v>
      </c>
      <c r="Y24" s="177">
        <v>2.831</v>
      </c>
      <c r="Z24" s="204">
        <v>2.82</v>
      </c>
      <c r="AA24" s="204">
        <v>2.82442</v>
      </c>
      <c r="AB24" s="204">
        <v>2.811421</v>
      </c>
      <c r="AC24" s="160">
        <v>2.85</v>
      </c>
      <c r="AD24" s="160">
        <v>2.93</v>
      </c>
      <c r="AE24" s="160">
        <v>2.85</v>
      </c>
      <c r="AF24" s="160">
        <v>2.93</v>
      </c>
      <c r="AG24" s="177">
        <v>2.805</v>
      </c>
      <c r="AH24" s="160">
        <v>2.85</v>
      </c>
      <c r="AI24" s="160">
        <v>2.93</v>
      </c>
      <c r="AJ24" s="160">
        <v>2.85</v>
      </c>
      <c r="AK24" s="160">
        <v>2.93</v>
      </c>
      <c r="AL24" s="204">
        <v>2.84493428571429</v>
      </c>
      <c r="AM24" s="177">
        <v>2.79</v>
      </c>
      <c r="AN24" s="177">
        <v>2.82</v>
      </c>
      <c r="AO24" s="160">
        <v>2.837</v>
      </c>
      <c r="AP24" s="160">
        <v>2.916637</v>
      </c>
      <c r="AQ24" s="160">
        <v>2.837</v>
      </c>
      <c r="AR24" s="160">
        <v>2.916637</v>
      </c>
      <c r="AS24" s="160">
        <v>2.837</v>
      </c>
      <c r="AT24" s="160">
        <v>2.916637</v>
      </c>
      <c r="AU24" s="160">
        <v>2.837</v>
      </c>
      <c r="AV24" s="160">
        <v>2.916637</v>
      </c>
      <c r="AW24" s="177">
        <v>2.837</v>
      </c>
      <c r="AX24" s="177">
        <v>2.916637</v>
      </c>
      <c r="AY24" s="160">
        <v>2.837</v>
      </c>
      <c r="AZ24" s="160">
        <v>2.916637</v>
      </c>
      <c r="BA24" s="183">
        <v>2.837</v>
      </c>
      <c r="BB24" s="183">
        <v>2.916637</v>
      </c>
      <c r="BC24" s="160">
        <v>2.858</v>
      </c>
      <c r="BD24" s="160">
        <v>2.841831</v>
      </c>
      <c r="BE24" s="160">
        <v>2.934625</v>
      </c>
      <c r="BF24" s="160">
        <v>2.858039</v>
      </c>
      <c r="BG24" s="160">
        <v>2.958039</v>
      </c>
      <c r="BH24" s="160">
        <v>2.83</v>
      </c>
      <c r="BI24" s="160">
        <v>2.89</v>
      </c>
      <c r="BJ24" s="177">
        <v>2.81</v>
      </c>
      <c r="BK24" s="160">
        <v>2.83</v>
      </c>
      <c r="BL24" s="160">
        <v>2.89</v>
      </c>
      <c r="BM24" s="160">
        <v>2.887</v>
      </c>
      <c r="BN24" s="177">
        <v>2.957</v>
      </c>
      <c r="BO24" s="177">
        <v>3.029</v>
      </c>
      <c r="BP24" s="235">
        <v>2.83</v>
      </c>
      <c r="BQ24" s="236">
        <v>2.9</v>
      </c>
      <c r="BR24" s="204">
        <v>2.82</v>
      </c>
      <c r="BS24" s="160">
        <v>2.843</v>
      </c>
      <c r="BT24" s="160">
        <v>2.843</v>
      </c>
      <c r="BU24" s="160">
        <v>2.843</v>
      </c>
      <c r="BV24" s="160">
        <v>2.843</v>
      </c>
      <c r="BW24" s="177">
        <v>2.843</v>
      </c>
      <c r="BX24" s="177">
        <v>2.843</v>
      </c>
      <c r="BY24" s="242">
        <v>2.85</v>
      </c>
      <c r="BZ24" s="204">
        <v>2.83</v>
      </c>
      <c r="CA24" s="242">
        <v>2.85</v>
      </c>
      <c r="CB24" s="160">
        <v>2.83</v>
      </c>
    </row>
    <row r="25" s="128" customFormat="1" ht="19.5" customHeight="1" spans="1:80">
      <c r="A25" s="157">
        <v>15</v>
      </c>
      <c r="B25" s="158">
        <v>15</v>
      </c>
      <c r="C25" s="159"/>
      <c r="D25" s="160">
        <v>2.86</v>
      </c>
      <c r="E25" s="160">
        <v>2.96</v>
      </c>
      <c r="F25" s="160">
        <v>2.86</v>
      </c>
      <c r="G25" s="160">
        <v>2.96</v>
      </c>
      <c r="H25" s="160">
        <v>2.8</v>
      </c>
      <c r="I25" s="160">
        <v>2.8</v>
      </c>
      <c r="J25" s="160">
        <v>2.8</v>
      </c>
      <c r="K25" s="160">
        <v>5.8</v>
      </c>
      <c r="L25" s="179">
        <v>5.6</v>
      </c>
      <c r="M25" s="176">
        <v>5.66</v>
      </c>
      <c r="N25" s="160">
        <v>5.66</v>
      </c>
      <c r="O25" s="179">
        <v>2.8</v>
      </c>
      <c r="P25" s="180">
        <v>2.8</v>
      </c>
      <c r="Q25" s="180">
        <v>5.6</v>
      </c>
      <c r="R25" s="192">
        <v>5.66</v>
      </c>
      <c r="S25" s="193">
        <v>2.836</v>
      </c>
      <c r="T25" s="160">
        <v>2.842791</v>
      </c>
      <c r="U25" s="160">
        <v>2.949733</v>
      </c>
      <c r="V25" s="160">
        <v>2.840836</v>
      </c>
      <c r="W25" s="160">
        <v>2.93139</v>
      </c>
      <c r="X25" s="194">
        <v>2.837774</v>
      </c>
      <c r="Y25" s="177">
        <v>2.841</v>
      </c>
      <c r="Z25" s="204">
        <v>2.84</v>
      </c>
      <c r="AA25" s="204">
        <v>2.837774</v>
      </c>
      <c r="AB25" s="204">
        <v>2.825753</v>
      </c>
      <c r="AC25" s="160">
        <v>2.86</v>
      </c>
      <c r="AD25" s="160">
        <v>2.94</v>
      </c>
      <c r="AE25" s="160">
        <v>2.86</v>
      </c>
      <c r="AF25" s="160">
        <v>2.94</v>
      </c>
      <c r="AG25" s="177">
        <v>2.814</v>
      </c>
      <c r="AH25" s="160">
        <v>2.86</v>
      </c>
      <c r="AI25" s="160">
        <v>2.94</v>
      </c>
      <c r="AJ25" s="160">
        <v>2.86</v>
      </c>
      <c r="AK25" s="160">
        <v>2.94</v>
      </c>
      <c r="AL25" s="204">
        <v>2.85290285714286</v>
      </c>
      <c r="AM25" s="177">
        <v>2.8</v>
      </c>
      <c r="AN25" s="177">
        <v>2.83</v>
      </c>
      <c r="AO25" s="160">
        <v>2.848</v>
      </c>
      <c r="AP25" s="160">
        <v>2.93014</v>
      </c>
      <c r="AQ25" s="160">
        <v>2.848</v>
      </c>
      <c r="AR25" s="160">
        <v>2.93014</v>
      </c>
      <c r="AS25" s="160">
        <v>2.848</v>
      </c>
      <c r="AT25" s="160">
        <v>2.93014</v>
      </c>
      <c r="AU25" s="160">
        <v>2.848</v>
      </c>
      <c r="AV25" s="160">
        <v>2.93014</v>
      </c>
      <c r="AW25" s="177">
        <v>2.848</v>
      </c>
      <c r="AX25" s="177">
        <v>2.93014</v>
      </c>
      <c r="AY25" s="160">
        <v>2.848</v>
      </c>
      <c r="AZ25" s="160">
        <v>2.93014</v>
      </c>
      <c r="BA25" s="183">
        <v>2.848</v>
      </c>
      <c r="BB25" s="183">
        <v>2.93014</v>
      </c>
      <c r="BC25" s="160">
        <v>2.865</v>
      </c>
      <c r="BD25" s="160">
        <v>2.851758</v>
      </c>
      <c r="BE25" s="160">
        <v>2.946052</v>
      </c>
      <c r="BF25" s="160">
        <v>2.864916</v>
      </c>
      <c r="BG25" s="160">
        <v>2.964916</v>
      </c>
      <c r="BH25" s="160">
        <v>2.84</v>
      </c>
      <c r="BI25" s="160">
        <v>2.91</v>
      </c>
      <c r="BJ25" s="177">
        <v>2.82</v>
      </c>
      <c r="BK25" s="160">
        <v>2.84</v>
      </c>
      <c r="BL25" s="160">
        <v>2.91</v>
      </c>
      <c r="BM25" s="160">
        <v>2.904</v>
      </c>
      <c r="BN25" s="177">
        <v>2.975</v>
      </c>
      <c r="BO25" s="177">
        <v>3.055</v>
      </c>
      <c r="BP25" s="235">
        <v>2.84</v>
      </c>
      <c r="BQ25" s="236">
        <v>2.92</v>
      </c>
      <c r="BR25" s="204">
        <v>2.83</v>
      </c>
      <c r="BS25" s="160">
        <v>2.851</v>
      </c>
      <c r="BT25" s="160">
        <v>2.851</v>
      </c>
      <c r="BU25" s="160">
        <v>2.851</v>
      </c>
      <c r="BV25" s="160">
        <v>2.851</v>
      </c>
      <c r="BW25" s="177">
        <v>2.851</v>
      </c>
      <c r="BX25" s="177">
        <v>2.851</v>
      </c>
      <c r="BY25" s="242">
        <v>2.86</v>
      </c>
      <c r="BZ25" s="204">
        <v>2.85</v>
      </c>
      <c r="CA25" s="242">
        <v>2.86</v>
      </c>
      <c r="CB25" s="160">
        <v>2.85</v>
      </c>
    </row>
    <row r="26" s="128" customFormat="1" ht="20.1" customHeight="1" spans="1:80">
      <c r="A26" s="157">
        <v>16</v>
      </c>
      <c r="B26" s="158">
        <v>16</v>
      </c>
      <c r="C26" s="159"/>
      <c r="D26" s="160">
        <v>2.86</v>
      </c>
      <c r="E26" s="160">
        <v>2.96</v>
      </c>
      <c r="F26" s="160">
        <v>2.86</v>
      </c>
      <c r="G26" s="160">
        <v>2.96</v>
      </c>
      <c r="H26" s="160">
        <v>2.81</v>
      </c>
      <c r="I26" s="160">
        <v>2.81</v>
      </c>
      <c r="J26" s="160">
        <v>2.81</v>
      </c>
      <c r="K26" s="160">
        <v>5.82</v>
      </c>
      <c r="L26" s="179">
        <v>5.61</v>
      </c>
      <c r="M26" s="176">
        <v>5.68</v>
      </c>
      <c r="N26" s="160">
        <v>5.68</v>
      </c>
      <c r="O26" s="179">
        <v>2.81</v>
      </c>
      <c r="P26" s="180">
        <v>2.81</v>
      </c>
      <c r="Q26" s="180">
        <v>5.61</v>
      </c>
      <c r="R26" s="192">
        <v>5.68</v>
      </c>
      <c r="S26" s="193">
        <v>2.85</v>
      </c>
      <c r="T26" s="160">
        <v>2.854498</v>
      </c>
      <c r="U26" s="160">
        <v>2.960339</v>
      </c>
      <c r="V26" s="160">
        <v>2.852749</v>
      </c>
      <c r="W26" s="160">
        <v>2.943457</v>
      </c>
      <c r="X26" s="194">
        <v>2.84953</v>
      </c>
      <c r="Y26" s="177">
        <v>2.853</v>
      </c>
      <c r="Z26" s="204">
        <v>2.85</v>
      </c>
      <c r="AA26" s="204">
        <v>2.84953</v>
      </c>
      <c r="AB26" s="204">
        <v>2.840093</v>
      </c>
      <c r="AC26" s="160">
        <v>2.87</v>
      </c>
      <c r="AD26" s="160">
        <v>2.95</v>
      </c>
      <c r="AE26" s="160">
        <v>2.87</v>
      </c>
      <c r="AF26" s="160">
        <v>2.95</v>
      </c>
      <c r="AG26" s="177">
        <v>2.822</v>
      </c>
      <c r="AH26" s="160">
        <v>2.87</v>
      </c>
      <c r="AI26" s="160">
        <v>2.95</v>
      </c>
      <c r="AJ26" s="160">
        <v>2.87</v>
      </c>
      <c r="AK26" s="160">
        <v>2.95</v>
      </c>
      <c r="AL26" s="204">
        <v>2.86264</v>
      </c>
      <c r="AM26" s="177">
        <v>2.81</v>
      </c>
      <c r="AN26" s="177">
        <v>2.84</v>
      </c>
      <c r="AO26" s="160">
        <v>2.858</v>
      </c>
      <c r="AP26" s="160">
        <v>2.94464</v>
      </c>
      <c r="AQ26" s="160">
        <v>2.858</v>
      </c>
      <c r="AR26" s="160">
        <v>2.94464</v>
      </c>
      <c r="AS26" s="160">
        <v>2.858</v>
      </c>
      <c r="AT26" s="160">
        <v>2.94464</v>
      </c>
      <c r="AU26" s="160">
        <v>2.858</v>
      </c>
      <c r="AV26" s="160">
        <v>2.94464</v>
      </c>
      <c r="AW26" s="177">
        <v>2.858</v>
      </c>
      <c r="AX26" s="177">
        <v>2.94464</v>
      </c>
      <c r="AY26" s="160">
        <v>2.858</v>
      </c>
      <c r="AZ26" s="160">
        <v>2.94464</v>
      </c>
      <c r="BA26" s="183">
        <v>2.858</v>
      </c>
      <c r="BB26" s="183">
        <v>2.94464</v>
      </c>
      <c r="BC26" s="160">
        <v>2.874</v>
      </c>
      <c r="BD26" s="160">
        <v>2.862451</v>
      </c>
      <c r="BE26" s="160">
        <v>2.958405</v>
      </c>
      <c r="BF26" s="160">
        <v>2.873618</v>
      </c>
      <c r="BG26" s="160">
        <v>2.973618</v>
      </c>
      <c r="BH26" s="160">
        <v>2.85</v>
      </c>
      <c r="BI26" s="160">
        <v>2.93</v>
      </c>
      <c r="BJ26" s="177">
        <v>2.84</v>
      </c>
      <c r="BK26" s="160">
        <v>2.85</v>
      </c>
      <c r="BL26" s="160">
        <v>2.93</v>
      </c>
      <c r="BM26" s="160">
        <v>2.921</v>
      </c>
      <c r="BN26" s="177">
        <v>2.994</v>
      </c>
      <c r="BO26" s="177">
        <v>3.08</v>
      </c>
      <c r="BP26" s="235">
        <v>2.86</v>
      </c>
      <c r="BQ26" s="236">
        <v>2.94</v>
      </c>
      <c r="BR26" s="204">
        <v>2.85</v>
      </c>
      <c r="BS26" s="160">
        <v>2.861</v>
      </c>
      <c r="BT26" s="160">
        <v>2.861</v>
      </c>
      <c r="BU26" s="160">
        <v>2.861</v>
      </c>
      <c r="BV26" s="160">
        <v>2.861</v>
      </c>
      <c r="BW26" s="177">
        <v>2.861</v>
      </c>
      <c r="BX26" s="177">
        <v>2.861</v>
      </c>
      <c r="BY26" s="242">
        <v>2.87</v>
      </c>
      <c r="BZ26" s="204">
        <v>2.86</v>
      </c>
      <c r="CA26" s="242">
        <v>2.87</v>
      </c>
      <c r="CB26" s="160">
        <v>2.86</v>
      </c>
    </row>
    <row r="27" s="128" customFormat="1" ht="20.1" customHeight="1" spans="1:80">
      <c r="A27" s="157">
        <v>17</v>
      </c>
      <c r="B27" s="158">
        <v>17</v>
      </c>
      <c r="C27" s="159"/>
      <c r="D27" s="160">
        <v>2.87</v>
      </c>
      <c r="E27" s="160">
        <v>2.97</v>
      </c>
      <c r="F27" s="160">
        <v>2.87</v>
      </c>
      <c r="G27" s="160">
        <v>2.97</v>
      </c>
      <c r="H27" s="160">
        <v>2.82</v>
      </c>
      <c r="I27" s="160">
        <v>2.82</v>
      </c>
      <c r="J27" s="160">
        <v>2.82</v>
      </c>
      <c r="K27" s="160">
        <v>5.84</v>
      </c>
      <c r="L27" s="179">
        <v>5.63</v>
      </c>
      <c r="M27" s="176">
        <v>5.7</v>
      </c>
      <c r="N27" s="160">
        <v>5.7</v>
      </c>
      <c r="O27" s="179">
        <v>2.82</v>
      </c>
      <c r="P27" s="180">
        <v>2.82</v>
      </c>
      <c r="Q27" s="180">
        <v>5.63</v>
      </c>
      <c r="R27" s="192">
        <v>5.7</v>
      </c>
      <c r="S27" s="193">
        <v>2.864</v>
      </c>
      <c r="T27" s="160">
        <v>2.866109</v>
      </c>
      <c r="U27" s="160">
        <v>2.971318</v>
      </c>
      <c r="V27" s="160">
        <v>2.864633</v>
      </c>
      <c r="W27" s="160">
        <v>2.960551</v>
      </c>
      <c r="X27" s="194">
        <v>2.863385</v>
      </c>
      <c r="Y27" s="177">
        <v>2.864</v>
      </c>
      <c r="Z27" s="204">
        <v>2.86</v>
      </c>
      <c r="AA27" s="204">
        <v>2.863385</v>
      </c>
      <c r="AB27" s="204">
        <v>2.854509</v>
      </c>
      <c r="AC27" s="160">
        <v>2.88</v>
      </c>
      <c r="AD27" s="160">
        <v>2.97</v>
      </c>
      <c r="AE27" s="160">
        <v>2.88</v>
      </c>
      <c r="AF27" s="160">
        <v>2.97</v>
      </c>
      <c r="AG27" s="177">
        <v>2.83</v>
      </c>
      <c r="AH27" s="160">
        <v>2.88</v>
      </c>
      <c r="AI27" s="160">
        <v>2.97</v>
      </c>
      <c r="AJ27" s="160">
        <v>2.88</v>
      </c>
      <c r="AK27" s="160">
        <v>2.97</v>
      </c>
      <c r="AL27" s="204">
        <v>2.86986714285714</v>
      </c>
      <c r="AM27" s="177">
        <v>2.82</v>
      </c>
      <c r="AN27" s="177">
        <v>2.86</v>
      </c>
      <c r="AO27" s="160">
        <v>2.869</v>
      </c>
      <c r="AP27" s="160">
        <v>2.958812</v>
      </c>
      <c r="AQ27" s="160">
        <v>2.869</v>
      </c>
      <c r="AR27" s="160">
        <v>2.958812</v>
      </c>
      <c r="AS27" s="160">
        <v>2.869</v>
      </c>
      <c r="AT27" s="160">
        <v>2.958812</v>
      </c>
      <c r="AU27" s="160">
        <v>2.869</v>
      </c>
      <c r="AV27" s="160">
        <v>2.958812</v>
      </c>
      <c r="AW27" s="177">
        <v>2.869</v>
      </c>
      <c r="AX27" s="177">
        <v>2.958812</v>
      </c>
      <c r="AY27" s="160">
        <v>2.869</v>
      </c>
      <c r="AZ27" s="160">
        <v>2.958812</v>
      </c>
      <c r="BA27" s="183">
        <v>2.869</v>
      </c>
      <c r="BB27" s="183">
        <v>2.958812</v>
      </c>
      <c r="BC27" s="160">
        <v>2.88</v>
      </c>
      <c r="BD27" s="160">
        <v>2.872019</v>
      </c>
      <c r="BE27" s="160">
        <v>2.969534</v>
      </c>
      <c r="BF27" s="160">
        <v>2.880237</v>
      </c>
      <c r="BG27" s="160">
        <v>2.980237</v>
      </c>
      <c r="BH27" s="160">
        <v>2.87</v>
      </c>
      <c r="BI27" s="160">
        <v>2.95</v>
      </c>
      <c r="BJ27" s="177">
        <v>2.86</v>
      </c>
      <c r="BK27" s="160">
        <v>2.87</v>
      </c>
      <c r="BL27" s="160">
        <v>2.95</v>
      </c>
      <c r="BM27" s="160">
        <v>2.938</v>
      </c>
      <c r="BN27" s="177">
        <v>3.011</v>
      </c>
      <c r="BO27" s="177">
        <v>3.105</v>
      </c>
      <c r="BP27" s="235">
        <v>2.87</v>
      </c>
      <c r="BQ27" s="236">
        <v>2.95</v>
      </c>
      <c r="BR27" s="204">
        <v>2.86</v>
      </c>
      <c r="BS27" s="160">
        <v>2.871</v>
      </c>
      <c r="BT27" s="160">
        <v>2.871</v>
      </c>
      <c r="BU27" s="160">
        <v>2.871</v>
      </c>
      <c r="BV27" s="160">
        <v>2.871</v>
      </c>
      <c r="BW27" s="177">
        <v>2.871</v>
      </c>
      <c r="BX27" s="177">
        <v>2.871</v>
      </c>
      <c r="BY27" s="242">
        <v>2.88</v>
      </c>
      <c r="BZ27" s="204">
        <v>2.87</v>
      </c>
      <c r="CA27" s="242">
        <v>2.88</v>
      </c>
      <c r="CB27" s="160">
        <v>2.87</v>
      </c>
    </row>
    <row r="28" s="128" customFormat="1" ht="20.1" customHeight="1" spans="1:80">
      <c r="A28" s="157">
        <v>18</v>
      </c>
      <c r="B28" s="158">
        <v>18</v>
      </c>
      <c r="C28" s="159"/>
      <c r="D28" s="160">
        <v>2.88</v>
      </c>
      <c r="E28" s="160">
        <v>2.98</v>
      </c>
      <c r="F28" s="160">
        <v>2.88</v>
      </c>
      <c r="G28" s="160">
        <v>2.98</v>
      </c>
      <c r="H28" s="160">
        <v>2.83</v>
      </c>
      <c r="I28" s="160">
        <v>2.83</v>
      </c>
      <c r="J28" s="160">
        <v>2.83</v>
      </c>
      <c r="K28" s="160">
        <v>5.86</v>
      </c>
      <c r="L28" s="179">
        <v>5.64</v>
      </c>
      <c r="M28" s="176">
        <v>5.72</v>
      </c>
      <c r="N28" s="160">
        <v>5.72</v>
      </c>
      <c r="O28" s="179">
        <v>2.83</v>
      </c>
      <c r="P28" s="180">
        <v>2.83</v>
      </c>
      <c r="Q28" s="180">
        <v>5.64</v>
      </c>
      <c r="R28" s="192">
        <v>5.72</v>
      </c>
      <c r="S28" s="193">
        <v>2.873</v>
      </c>
      <c r="T28" s="160">
        <v>2.877069</v>
      </c>
      <c r="U28" s="160">
        <v>2.978996</v>
      </c>
      <c r="V28" s="160">
        <v>2.876339</v>
      </c>
      <c r="W28" s="160">
        <v>2.973832</v>
      </c>
      <c r="X28" s="194">
        <v>2.875495</v>
      </c>
      <c r="Y28" s="177">
        <v>2.877</v>
      </c>
      <c r="Z28" s="204">
        <v>2.87</v>
      </c>
      <c r="AA28" s="204">
        <v>2.875495</v>
      </c>
      <c r="AB28" s="204">
        <v>2.866196</v>
      </c>
      <c r="AC28" s="160">
        <v>2.89</v>
      </c>
      <c r="AD28" s="160">
        <v>2.98</v>
      </c>
      <c r="AE28" s="160">
        <v>2.89</v>
      </c>
      <c r="AF28" s="160">
        <v>2.98</v>
      </c>
      <c r="AG28" s="177">
        <v>2.837</v>
      </c>
      <c r="AH28" s="160">
        <v>2.89</v>
      </c>
      <c r="AI28" s="160">
        <v>2.98</v>
      </c>
      <c r="AJ28" s="160">
        <v>2.89</v>
      </c>
      <c r="AK28" s="160">
        <v>2.98</v>
      </c>
      <c r="AL28" s="204">
        <v>2.87828142857143</v>
      </c>
      <c r="AM28" s="177">
        <v>2.83</v>
      </c>
      <c r="AN28" s="177">
        <v>2.87</v>
      </c>
      <c r="AO28" s="160">
        <v>2.879</v>
      </c>
      <c r="AP28" s="160">
        <v>2.972636</v>
      </c>
      <c r="AQ28" s="160">
        <v>2.879</v>
      </c>
      <c r="AR28" s="160">
        <v>2.972636</v>
      </c>
      <c r="AS28" s="160">
        <v>2.879</v>
      </c>
      <c r="AT28" s="160">
        <v>2.972636</v>
      </c>
      <c r="AU28" s="160">
        <v>2.879</v>
      </c>
      <c r="AV28" s="160">
        <v>2.972636</v>
      </c>
      <c r="AW28" s="177">
        <v>2.879</v>
      </c>
      <c r="AX28" s="177">
        <v>2.972636</v>
      </c>
      <c r="AY28" s="160">
        <v>2.879</v>
      </c>
      <c r="AZ28" s="160">
        <v>2.972636</v>
      </c>
      <c r="BA28" s="183">
        <v>2.879</v>
      </c>
      <c r="BB28" s="183">
        <v>2.972636</v>
      </c>
      <c r="BC28" s="160">
        <v>2.887</v>
      </c>
      <c r="BD28" s="160">
        <v>2.881701</v>
      </c>
      <c r="BE28" s="160">
        <v>2.978777</v>
      </c>
      <c r="BF28" s="160">
        <v>2.88664</v>
      </c>
      <c r="BG28" s="160">
        <v>2.98664</v>
      </c>
      <c r="BH28" s="160">
        <v>2.88</v>
      </c>
      <c r="BI28" s="160">
        <v>2.96</v>
      </c>
      <c r="BJ28" s="177">
        <v>2.87</v>
      </c>
      <c r="BK28" s="160">
        <v>2.88</v>
      </c>
      <c r="BL28" s="160">
        <v>2.96</v>
      </c>
      <c r="BM28" s="160">
        <v>2.955</v>
      </c>
      <c r="BN28" s="177">
        <v>3.029</v>
      </c>
      <c r="BO28" s="177">
        <v>3.13</v>
      </c>
      <c r="BP28" s="235">
        <v>2.88</v>
      </c>
      <c r="BQ28" s="236">
        <v>2.97</v>
      </c>
      <c r="BR28" s="204">
        <v>2.87</v>
      </c>
      <c r="BS28" s="160">
        <v>2.88</v>
      </c>
      <c r="BT28" s="160">
        <v>2.88</v>
      </c>
      <c r="BU28" s="160">
        <v>2.88</v>
      </c>
      <c r="BV28" s="160">
        <v>2.88</v>
      </c>
      <c r="BW28" s="177">
        <v>2.88</v>
      </c>
      <c r="BX28" s="177">
        <v>2.88</v>
      </c>
      <c r="BY28" s="242">
        <v>2.88</v>
      </c>
      <c r="BZ28" s="204">
        <v>2.88</v>
      </c>
      <c r="CA28" s="242">
        <v>2.88</v>
      </c>
      <c r="CB28" s="160">
        <v>2.88</v>
      </c>
    </row>
    <row r="29" s="128" customFormat="1" ht="20.1" customHeight="1" spans="1:80">
      <c r="A29" s="157">
        <v>19</v>
      </c>
      <c r="B29" s="158">
        <v>19</v>
      </c>
      <c r="C29" s="159"/>
      <c r="D29" s="160">
        <v>2.89</v>
      </c>
      <c r="E29" s="160">
        <v>2.99</v>
      </c>
      <c r="F29" s="160">
        <v>2.89</v>
      </c>
      <c r="G29" s="160">
        <v>2.99</v>
      </c>
      <c r="H29" s="160">
        <v>2.84</v>
      </c>
      <c r="I29" s="160">
        <v>2.84</v>
      </c>
      <c r="J29" s="160">
        <v>2.84</v>
      </c>
      <c r="K29" s="160">
        <v>5.88</v>
      </c>
      <c r="L29" s="179">
        <v>5.66</v>
      </c>
      <c r="M29" s="176">
        <v>5.73</v>
      </c>
      <c r="N29" s="160">
        <v>5.73</v>
      </c>
      <c r="O29" s="179">
        <v>2.84</v>
      </c>
      <c r="P29" s="180">
        <v>2.84</v>
      </c>
      <c r="Q29" s="180">
        <v>5.66</v>
      </c>
      <c r="R29" s="192">
        <v>5.73</v>
      </c>
      <c r="S29" s="193">
        <v>2.888</v>
      </c>
      <c r="T29" s="160">
        <v>2.889463</v>
      </c>
      <c r="U29" s="160">
        <v>2.991493</v>
      </c>
      <c r="V29" s="160">
        <v>2.887941</v>
      </c>
      <c r="W29" s="160">
        <v>2.986647</v>
      </c>
      <c r="X29" s="194">
        <v>2.88784</v>
      </c>
      <c r="Y29" s="177">
        <v>2.889</v>
      </c>
      <c r="Z29" s="204">
        <v>2.89</v>
      </c>
      <c r="AA29" s="204">
        <v>2.88784</v>
      </c>
      <c r="AB29" s="204">
        <v>2.882457</v>
      </c>
      <c r="AC29" s="160">
        <v>2.9</v>
      </c>
      <c r="AD29" s="160">
        <v>2.99</v>
      </c>
      <c r="AE29" s="160">
        <v>2.9</v>
      </c>
      <c r="AF29" s="160">
        <v>2.99</v>
      </c>
      <c r="AG29" s="177">
        <v>2.844</v>
      </c>
      <c r="AH29" s="160">
        <v>2.9</v>
      </c>
      <c r="AI29" s="160">
        <v>2.99</v>
      </c>
      <c r="AJ29" s="160">
        <v>2.9</v>
      </c>
      <c r="AK29" s="160">
        <v>2.99</v>
      </c>
      <c r="AL29" s="204">
        <v>2.88794857142857</v>
      </c>
      <c r="AM29" s="177">
        <v>2.84</v>
      </c>
      <c r="AN29" s="177">
        <v>2.88</v>
      </c>
      <c r="AO29" s="160">
        <v>2.89</v>
      </c>
      <c r="AP29" s="160">
        <v>2.986229</v>
      </c>
      <c r="AQ29" s="160">
        <v>2.89</v>
      </c>
      <c r="AR29" s="160">
        <v>2.986229</v>
      </c>
      <c r="AS29" s="160">
        <v>2.89</v>
      </c>
      <c r="AT29" s="160">
        <v>2.986229</v>
      </c>
      <c r="AU29" s="160">
        <v>2.89</v>
      </c>
      <c r="AV29" s="160">
        <v>2.986229</v>
      </c>
      <c r="AW29" s="177">
        <v>2.89</v>
      </c>
      <c r="AX29" s="177">
        <v>2.986229</v>
      </c>
      <c r="AY29" s="160">
        <v>2.89</v>
      </c>
      <c r="AZ29" s="160">
        <v>2.986229</v>
      </c>
      <c r="BA29" s="183">
        <v>2.89</v>
      </c>
      <c r="BB29" s="183">
        <v>2.986229</v>
      </c>
      <c r="BC29" s="160">
        <v>2.894</v>
      </c>
      <c r="BD29" s="160">
        <v>2.892069</v>
      </c>
      <c r="BE29" s="160">
        <v>2.989144</v>
      </c>
      <c r="BF29" s="160">
        <v>2.893914</v>
      </c>
      <c r="BG29" s="160">
        <v>2.993914</v>
      </c>
      <c r="BH29" s="160">
        <v>2.89</v>
      </c>
      <c r="BI29" s="160">
        <v>2.98</v>
      </c>
      <c r="BJ29" s="177">
        <v>2.88</v>
      </c>
      <c r="BK29" s="160">
        <v>2.89</v>
      </c>
      <c r="BL29" s="160">
        <v>2.98</v>
      </c>
      <c r="BM29" s="160">
        <v>2.971</v>
      </c>
      <c r="BN29" s="177">
        <v>3.046</v>
      </c>
      <c r="BO29" s="177">
        <v>3.155</v>
      </c>
      <c r="BP29" s="235">
        <v>2.89</v>
      </c>
      <c r="BQ29" s="236">
        <v>2.99</v>
      </c>
      <c r="BR29" s="204">
        <v>2.89</v>
      </c>
      <c r="BS29" s="160">
        <v>2.89</v>
      </c>
      <c r="BT29" s="160">
        <v>2.89</v>
      </c>
      <c r="BU29" s="160">
        <v>2.89</v>
      </c>
      <c r="BV29" s="160">
        <v>2.89</v>
      </c>
      <c r="BW29" s="177">
        <v>2.89</v>
      </c>
      <c r="BX29" s="177">
        <v>2.89</v>
      </c>
      <c r="BY29" s="242">
        <v>2.89</v>
      </c>
      <c r="BZ29" s="204">
        <v>2.89</v>
      </c>
      <c r="CA29" s="242">
        <v>2.89</v>
      </c>
      <c r="CB29" s="160">
        <v>2.89</v>
      </c>
    </row>
    <row r="30" s="128" customFormat="1" ht="19.5" customHeight="1" spans="1:80">
      <c r="A30" s="157">
        <v>20</v>
      </c>
      <c r="B30" s="161">
        <v>20</v>
      </c>
      <c r="C30" s="162"/>
      <c r="D30" s="163">
        <v>2.9</v>
      </c>
      <c r="E30" s="163">
        <v>3</v>
      </c>
      <c r="F30" s="163">
        <v>2.9</v>
      </c>
      <c r="G30" s="163">
        <v>3</v>
      </c>
      <c r="H30" s="163">
        <v>2.85</v>
      </c>
      <c r="I30" s="163">
        <v>2.85</v>
      </c>
      <c r="J30" s="163">
        <v>2.85</v>
      </c>
      <c r="K30" s="163">
        <v>5.9</v>
      </c>
      <c r="L30" s="179">
        <v>5.67</v>
      </c>
      <c r="M30" s="176">
        <v>5.75</v>
      </c>
      <c r="N30" s="163">
        <v>5.75</v>
      </c>
      <c r="O30" s="163">
        <v>2.85</v>
      </c>
      <c r="P30" s="181">
        <v>2.85</v>
      </c>
      <c r="Q30" s="180">
        <v>5.67</v>
      </c>
      <c r="R30" s="192">
        <v>5.75</v>
      </c>
      <c r="S30" s="193">
        <v>2.9</v>
      </c>
      <c r="T30" s="163">
        <v>2.900265</v>
      </c>
      <c r="U30" s="163">
        <v>3.000127</v>
      </c>
      <c r="V30" s="163">
        <v>2.89974</v>
      </c>
      <c r="W30" s="163">
        <v>2.999601</v>
      </c>
      <c r="X30" s="194">
        <v>2.900856</v>
      </c>
      <c r="Y30" s="177">
        <v>2.9</v>
      </c>
      <c r="Z30" s="205">
        <v>2.9</v>
      </c>
      <c r="AA30" s="205">
        <v>2.900856</v>
      </c>
      <c r="AB30" s="205">
        <v>2.896376</v>
      </c>
      <c r="AC30" s="163">
        <v>2.9</v>
      </c>
      <c r="AD30" s="163">
        <v>3</v>
      </c>
      <c r="AE30" s="163">
        <v>2.9</v>
      </c>
      <c r="AF30" s="163">
        <v>3</v>
      </c>
      <c r="AG30" s="177">
        <v>2.85</v>
      </c>
      <c r="AH30" s="163">
        <v>2.9</v>
      </c>
      <c r="AI30" s="163">
        <v>3</v>
      </c>
      <c r="AJ30" s="163">
        <v>2.9</v>
      </c>
      <c r="AK30" s="163">
        <v>3</v>
      </c>
      <c r="AL30" s="205">
        <v>2.9</v>
      </c>
      <c r="AM30" s="177">
        <v>2.85</v>
      </c>
      <c r="AN30" s="177">
        <v>2.9</v>
      </c>
      <c r="AO30" s="163">
        <v>2.9</v>
      </c>
      <c r="AP30" s="163">
        <v>2.999603</v>
      </c>
      <c r="AQ30" s="163">
        <v>2.9</v>
      </c>
      <c r="AR30" s="163">
        <v>2.999603</v>
      </c>
      <c r="AS30" s="163">
        <v>2.9</v>
      </c>
      <c r="AT30" s="163">
        <v>2.999603</v>
      </c>
      <c r="AU30" s="163">
        <v>2.9</v>
      </c>
      <c r="AV30" s="163">
        <v>2.999603</v>
      </c>
      <c r="AW30" s="177">
        <v>2.9</v>
      </c>
      <c r="AX30" s="177">
        <v>2.999603</v>
      </c>
      <c r="AY30" s="163">
        <v>2.9</v>
      </c>
      <c r="AZ30" s="163">
        <v>2.999603</v>
      </c>
      <c r="BA30" s="181">
        <v>2.9</v>
      </c>
      <c r="BB30" s="181">
        <v>2.999603</v>
      </c>
      <c r="BC30" s="163">
        <v>2.9</v>
      </c>
      <c r="BD30" s="163">
        <v>2.900398</v>
      </c>
      <c r="BE30" s="163">
        <v>3.00039</v>
      </c>
      <c r="BF30" s="163">
        <v>2.899948</v>
      </c>
      <c r="BG30" s="163">
        <v>2.999948</v>
      </c>
      <c r="BH30" s="163">
        <v>2.9</v>
      </c>
      <c r="BI30" s="163">
        <v>3</v>
      </c>
      <c r="BJ30" s="177">
        <v>2.9</v>
      </c>
      <c r="BK30" s="163">
        <v>2.9</v>
      </c>
      <c r="BL30" s="163">
        <v>3</v>
      </c>
      <c r="BM30" s="163">
        <v>3</v>
      </c>
      <c r="BN30" s="177">
        <v>3.1</v>
      </c>
      <c r="BO30" s="177">
        <v>3.2</v>
      </c>
      <c r="BP30" s="235">
        <v>2.9</v>
      </c>
      <c r="BQ30" s="237">
        <v>3</v>
      </c>
      <c r="BR30" s="205">
        <v>2.9</v>
      </c>
      <c r="BS30" s="163">
        <v>2.9</v>
      </c>
      <c r="BT30" s="163">
        <v>2.9</v>
      </c>
      <c r="BU30" s="163">
        <v>2.9</v>
      </c>
      <c r="BV30" s="163">
        <v>2.9</v>
      </c>
      <c r="BW30" s="177">
        <v>2.9</v>
      </c>
      <c r="BX30" s="177">
        <v>2.9</v>
      </c>
      <c r="BY30" s="242">
        <v>2.9</v>
      </c>
      <c r="BZ30" s="205">
        <v>2.9</v>
      </c>
      <c r="CA30" s="242">
        <v>2.9</v>
      </c>
      <c r="CB30" s="163">
        <v>2.9</v>
      </c>
    </row>
    <row r="31" s="128" customFormat="1" ht="20.1" customHeight="1" spans="1:80">
      <c r="A31" s="157">
        <v>21</v>
      </c>
      <c r="B31" s="158">
        <v>21</v>
      </c>
      <c r="C31" s="159"/>
      <c r="D31" s="160">
        <v>2.9</v>
      </c>
      <c r="E31" s="160">
        <v>3</v>
      </c>
      <c r="F31" s="160">
        <v>2.9</v>
      </c>
      <c r="G31" s="160">
        <v>3</v>
      </c>
      <c r="H31" s="160">
        <v>2.86</v>
      </c>
      <c r="I31" s="160">
        <v>2.86</v>
      </c>
      <c r="J31" s="160">
        <v>2.86</v>
      </c>
      <c r="K31" s="160">
        <v>5.92</v>
      </c>
      <c r="L31" s="179">
        <v>5.68</v>
      </c>
      <c r="M31" s="176">
        <v>5.77</v>
      </c>
      <c r="N31" s="160">
        <v>5.77</v>
      </c>
      <c r="O31" s="179">
        <v>2.86</v>
      </c>
      <c r="P31" s="180">
        <v>2.86</v>
      </c>
      <c r="Q31" s="180">
        <v>5.68</v>
      </c>
      <c r="R31" s="192">
        <v>5.77</v>
      </c>
      <c r="S31" s="193">
        <v>2.914</v>
      </c>
      <c r="T31" s="160">
        <v>2.912082</v>
      </c>
      <c r="U31" s="160">
        <v>3.014566</v>
      </c>
      <c r="V31" s="160">
        <v>2.910665</v>
      </c>
      <c r="W31" s="160">
        <v>3.015074</v>
      </c>
      <c r="X31" s="194">
        <v>2.913285</v>
      </c>
      <c r="Y31" s="177">
        <v>2.91</v>
      </c>
      <c r="Z31" s="204">
        <v>2.91</v>
      </c>
      <c r="AA31" s="204">
        <v>2.913285</v>
      </c>
      <c r="AB31" s="204">
        <v>2.910054</v>
      </c>
      <c r="AC31" s="160">
        <v>2.92</v>
      </c>
      <c r="AD31" s="160">
        <v>3.01</v>
      </c>
      <c r="AE31" s="160">
        <v>2.92</v>
      </c>
      <c r="AF31" s="160">
        <v>3.01</v>
      </c>
      <c r="AG31" s="177">
        <v>2.855</v>
      </c>
      <c r="AH31" s="160">
        <v>2.92</v>
      </c>
      <c r="AI31" s="160">
        <v>3.01</v>
      </c>
      <c r="AJ31" s="160">
        <v>2.92</v>
      </c>
      <c r="AK31" s="160">
        <v>3.01</v>
      </c>
      <c r="AL31" s="204">
        <v>2.90687</v>
      </c>
      <c r="AM31" s="177">
        <v>2.86</v>
      </c>
      <c r="AN31" s="177">
        <v>2.91</v>
      </c>
      <c r="AO31" s="160">
        <v>2.91</v>
      </c>
      <c r="AP31" s="160">
        <v>3.012677</v>
      </c>
      <c r="AQ31" s="160">
        <v>2.91</v>
      </c>
      <c r="AR31" s="160">
        <v>3.012677</v>
      </c>
      <c r="AS31" s="160">
        <v>2.91</v>
      </c>
      <c r="AT31" s="160">
        <v>3.012677</v>
      </c>
      <c r="AU31" s="160">
        <v>2.91</v>
      </c>
      <c r="AV31" s="160">
        <v>3.012677</v>
      </c>
      <c r="AW31" s="177">
        <v>2.91</v>
      </c>
      <c r="AX31" s="177">
        <v>3.012677</v>
      </c>
      <c r="AY31" s="160">
        <v>2.91</v>
      </c>
      <c r="AZ31" s="160">
        <v>3.012677</v>
      </c>
      <c r="BA31" s="183">
        <v>2.91</v>
      </c>
      <c r="BB31" s="183">
        <v>3.012677</v>
      </c>
      <c r="BC31" s="160">
        <v>2.907</v>
      </c>
      <c r="BD31" s="160">
        <v>2.910494</v>
      </c>
      <c r="BE31" s="160">
        <v>3.010146</v>
      </c>
      <c r="BF31" s="160">
        <v>2.907359</v>
      </c>
      <c r="BG31" s="160">
        <v>3.007359</v>
      </c>
      <c r="BH31" s="160">
        <v>2.91</v>
      </c>
      <c r="BI31" s="160">
        <v>3.01</v>
      </c>
      <c r="BJ31" s="177">
        <v>2.92</v>
      </c>
      <c r="BK31" s="160">
        <v>2.91</v>
      </c>
      <c r="BL31" s="160">
        <v>3.01</v>
      </c>
      <c r="BM31" s="160">
        <v>3.003</v>
      </c>
      <c r="BN31" s="177">
        <v>3.08</v>
      </c>
      <c r="BO31" s="177">
        <v>3.205</v>
      </c>
      <c r="BP31" s="235">
        <v>2.91</v>
      </c>
      <c r="BQ31" s="236">
        <v>3.02</v>
      </c>
      <c r="BR31" s="204">
        <v>2.91</v>
      </c>
      <c r="BS31" s="160">
        <v>2.91</v>
      </c>
      <c r="BT31" s="160">
        <v>2.91</v>
      </c>
      <c r="BU31" s="160">
        <v>2.91</v>
      </c>
      <c r="BV31" s="160">
        <v>2.91</v>
      </c>
      <c r="BW31" s="177">
        <v>2.91</v>
      </c>
      <c r="BX31" s="177">
        <v>2.91</v>
      </c>
      <c r="BY31" s="242">
        <v>2.91</v>
      </c>
      <c r="BZ31" s="204">
        <v>2.91</v>
      </c>
      <c r="CA31" s="242">
        <v>2.91</v>
      </c>
      <c r="CB31" s="160">
        <v>2.92</v>
      </c>
    </row>
    <row r="32" s="128" customFormat="1" ht="20.1" customHeight="1" spans="1:80">
      <c r="A32" s="157">
        <v>22</v>
      </c>
      <c r="B32" s="158">
        <v>22</v>
      </c>
      <c r="C32" s="159"/>
      <c r="D32" s="160">
        <v>2.91</v>
      </c>
      <c r="E32" s="160">
        <v>3.01</v>
      </c>
      <c r="F32" s="160">
        <v>2.91</v>
      </c>
      <c r="G32" s="160">
        <v>3.01</v>
      </c>
      <c r="H32" s="160">
        <v>2.87</v>
      </c>
      <c r="I32" s="160">
        <v>2.87</v>
      </c>
      <c r="J32" s="160">
        <v>2.87</v>
      </c>
      <c r="K32" s="160">
        <v>5.93</v>
      </c>
      <c r="L32" s="182">
        <v>5.7</v>
      </c>
      <c r="M32" s="176">
        <v>5.79</v>
      </c>
      <c r="N32" s="160">
        <v>5.79</v>
      </c>
      <c r="O32" s="179">
        <v>2.87</v>
      </c>
      <c r="P32" s="180">
        <v>2.87</v>
      </c>
      <c r="Q32" s="195">
        <v>5.7</v>
      </c>
      <c r="R32" s="192">
        <v>5.79</v>
      </c>
      <c r="S32" s="193">
        <v>2.926</v>
      </c>
      <c r="T32" s="160">
        <v>2.923202</v>
      </c>
      <c r="U32" s="160">
        <v>3.023588</v>
      </c>
      <c r="V32" s="160">
        <v>2.921472</v>
      </c>
      <c r="W32" s="160">
        <v>3.028078</v>
      </c>
      <c r="X32" s="194">
        <v>2.925819</v>
      </c>
      <c r="Y32" s="177">
        <v>2.92</v>
      </c>
      <c r="Z32" s="204">
        <v>2.93</v>
      </c>
      <c r="AA32" s="204">
        <v>2.925819</v>
      </c>
      <c r="AB32" s="204">
        <v>2.92415</v>
      </c>
      <c r="AC32" s="160">
        <v>2.93</v>
      </c>
      <c r="AD32" s="160">
        <v>3.03</v>
      </c>
      <c r="AE32" s="160">
        <v>2.93</v>
      </c>
      <c r="AF32" s="160">
        <v>3.03</v>
      </c>
      <c r="AG32" s="177">
        <v>2.86</v>
      </c>
      <c r="AH32" s="160">
        <v>2.93</v>
      </c>
      <c r="AI32" s="160">
        <v>3.03</v>
      </c>
      <c r="AJ32" s="160">
        <v>2.93</v>
      </c>
      <c r="AK32" s="160">
        <v>3.03</v>
      </c>
      <c r="AL32" s="204">
        <v>2.91290857142857</v>
      </c>
      <c r="AM32" s="177">
        <v>2.87</v>
      </c>
      <c r="AN32" s="177">
        <v>2.92</v>
      </c>
      <c r="AO32" s="160">
        <v>2.92</v>
      </c>
      <c r="AP32" s="160">
        <v>3.025544</v>
      </c>
      <c r="AQ32" s="160">
        <v>2.92</v>
      </c>
      <c r="AR32" s="160">
        <v>3.025544</v>
      </c>
      <c r="AS32" s="160">
        <v>2.92</v>
      </c>
      <c r="AT32" s="160">
        <v>3.025544</v>
      </c>
      <c r="AU32" s="160">
        <v>2.92</v>
      </c>
      <c r="AV32" s="160">
        <v>3.025544</v>
      </c>
      <c r="AW32" s="177">
        <v>2.92</v>
      </c>
      <c r="AX32" s="177">
        <v>3.025544</v>
      </c>
      <c r="AY32" s="160">
        <v>2.92</v>
      </c>
      <c r="AZ32" s="160">
        <v>3.025544</v>
      </c>
      <c r="BA32" s="183">
        <v>2.92</v>
      </c>
      <c r="BB32" s="183">
        <v>3.025544</v>
      </c>
      <c r="BC32" s="160">
        <v>2.915</v>
      </c>
      <c r="BD32" s="160">
        <v>2.919469</v>
      </c>
      <c r="BE32" s="160">
        <v>3.021313</v>
      </c>
      <c r="BF32" s="160">
        <v>2.914893</v>
      </c>
      <c r="BG32" s="160">
        <v>3.014893</v>
      </c>
      <c r="BH32" s="160">
        <v>2.92</v>
      </c>
      <c r="BI32" s="160">
        <v>3.03</v>
      </c>
      <c r="BJ32" s="177">
        <v>2.94</v>
      </c>
      <c r="BK32" s="160">
        <v>2.92</v>
      </c>
      <c r="BL32" s="160">
        <v>3.03</v>
      </c>
      <c r="BM32" s="160">
        <v>3.02</v>
      </c>
      <c r="BN32" s="177">
        <v>3.096</v>
      </c>
      <c r="BO32" s="177">
        <v>3.23</v>
      </c>
      <c r="BP32" s="235">
        <v>2.92</v>
      </c>
      <c r="BQ32" s="236">
        <v>3.03</v>
      </c>
      <c r="BR32" s="204">
        <v>2.93</v>
      </c>
      <c r="BS32" s="160">
        <v>2.92</v>
      </c>
      <c r="BT32" s="160">
        <v>2.92</v>
      </c>
      <c r="BU32" s="160">
        <v>2.92</v>
      </c>
      <c r="BV32" s="160">
        <v>2.92</v>
      </c>
      <c r="BW32" s="177">
        <v>2.92</v>
      </c>
      <c r="BX32" s="177">
        <v>2.92</v>
      </c>
      <c r="BY32" s="242">
        <v>2.92</v>
      </c>
      <c r="BZ32" s="204">
        <v>2.92</v>
      </c>
      <c r="CA32" s="242">
        <v>2.92</v>
      </c>
      <c r="CB32" s="160">
        <v>2.93</v>
      </c>
    </row>
    <row r="33" s="128" customFormat="1" ht="20.1" customHeight="1" spans="1:80">
      <c r="A33" s="157">
        <v>23</v>
      </c>
      <c r="B33" s="158">
        <v>23</v>
      </c>
      <c r="C33" s="159"/>
      <c r="D33" s="160">
        <v>2.92</v>
      </c>
      <c r="E33" s="160">
        <v>3.02</v>
      </c>
      <c r="F33" s="160">
        <v>2.92</v>
      </c>
      <c r="G33" s="160">
        <v>3.02</v>
      </c>
      <c r="H33" s="160">
        <v>2.88</v>
      </c>
      <c r="I33" s="160">
        <v>2.88</v>
      </c>
      <c r="J33" s="160">
        <v>2.88</v>
      </c>
      <c r="K33" s="160">
        <v>5.95</v>
      </c>
      <c r="L33" s="179">
        <v>5.71</v>
      </c>
      <c r="M33" s="176">
        <v>5.81</v>
      </c>
      <c r="N33" s="160">
        <v>5.81</v>
      </c>
      <c r="O33" s="179">
        <v>2.88</v>
      </c>
      <c r="P33" s="180">
        <v>2.88</v>
      </c>
      <c r="Q33" s="180">
        <v>5.71</v>
      </c>
      <c r="R33" s="192">
        <v>5.81</v>
      </c>
      <c r="S33" s="193">
        <v>2.94</v>
      </c>
      <c r="T33" s="160">
        <v>2.934393</v>
      </c>
      <c r="U33" s="160">
        <v>3.036703</v>
      </c>
      <c r="V33" s="160">
        <v>2.933354</v>
      </c>
      <c r="W33" s="160">
        <v>3.042686</v>
      </c>
      <c r="X33" s="194">
        <v>2.937785</v>
      </c>
      <c r="Y33" s="177">
        <v>2.933</v>
      </c>
      <c r="Z33" s="204">
        <v>2.94</v>
      </c>
      <c r="AA33" s="204">
        <v>2.937785</v>
      </c>
      <c r="AB33" s="204">
        <v>2.938124</v>
      </c>
      <c r="AC33" s="160">
        <v>2.94</v>
      </c>
      <c r="AD33" s="160">
        <v>3.04</v>
      </c>
      <c r="AE33" s="160">
        <v>2.94</v>
      </c>
      <c r="AF33" s="160">
        <v>3.04</v>
      </c>
      <c r="AG33" s="177">
        <v>2.864</v>
      </c>
      <c r="AH33" s="160">
        <v>2.94</v>
      </c>
      <c r="AI33" s="160">
        <v>3.04</v>
      </c>
      <c r="AJ33" s="160">
        <v>2.94</v>
      </c>
      <c r="AK33" s="160">
        <v>3.04</v>
      </c>
      <c r="AL33" s="204">
        <v>2.92256428571429</v>
      </c>
      <c r="AM33" s="177">
        <v>2.88</v>
      </c>
      <c r="AN33" s="177">
        <v>2.94</v>
      </c>
      <c r="AO33" s="160">
        <v>2.93</v>
      </c>
      <c r="AP33" s="160">
        <v>3.038178</v>
      </c>
      <c r="AQ33" s="160">
        <v>2.93</v>
      </c>
      <c r="AR33" s="160">
        <v>3.038178</v>
      </c>
      <c r="AS33" s="160">
        <v>2.93</v>
      </c>
      <c r="AT33" s="160">
        <v>3.038178</v>
      </c>
      <c r="AU33" s="160">
        <v>2.93</v>
      </c>
      <c r="AV33" s="160">
        <v>3.038178</v>
      </c>
      <c r="AW33" s="177">
        <v>2.93</v>
      </c>
      <c r="AX33" s="177">
        <v>3.038178</v>
      </c>
      <c r="AY33" s="160">
        <v>2.93</v>
      </c>
      <c r="AZ33" s="160">
        <v>3.038178</v>
      </c>
      <c r="BA33" s="183">
        <v>2.93</v>
      </c>
      <c r="BB33" s="183">
        <v>3.038178</v>
      </c>
      <c r="BC33" s="160">
        <v>2.921</v>
      </c>
      <c r="BD33" s="160">
        <v>2.928654</v>
      </c>
      <c r="BE33" s="160">
        <v>3.030219</v>
      </c>
      <c r="BF33" s="160">
        <v>2.920784</v>
      </c>
      <c r="BG33" s="160">
        <v>3.020784</v>
      </c>
      <c r="BH33" s="160">
        <v>2.94</v>
      </c>
      <c r="BI33" s="160">
        <v>3.05</v>
      </c>
      <c r="BJ33" s="177">
        <v>2.96</v>
      </c>
      <c r="BK33" s="160">
        <v>2.94</v>
      </c>
      <c r="BL33" s="160">
        <v>3.05</v>
      </c>
      <c r="BM33" s="160">
        <v>3.036</v>
      </c>
      <c r="BN33" s="177">
        <v>3.113</v>
      </c>
      <c r="BO33" s="177">
        <v>3.254</v>
      </c>
      <c r="BP33" s="235">
        <v>2.93</v>
      </c>
      <c r="BQ33" s="236">
        <v>3.05</v>
      </c>
      <c r="BR33" s="204">
        <v>2.94</v>
      </c>
      <c r="BS33" s="160">
        <v>2.93</v>
      </c>
      <c r="BT33" s="160">
        <v>2.93</v>
      </c>
      <c r="BU33" s="160">
        <v>2.93</v>
      </c>
      <c r="BV33" s="160">
        <v>2.93</v>
      </c>
      <c r="BW33" s="177">
        <v>2.93</v>
      </c>
      <c r="BX33" s="177">
        <v>2.93</v>
      </c>
      <c r="BY33" s="242">
        <v>2.92</v>
      </c>
      <c r="BZ33" s="204">
        <v>2.93</v>
      </c>
      <c r="CA33" s="242">
        <v>2.92</v>
      </c>
      <c r="CB33" s="160">
        <v>2.94</v>
      </c>
    </row>
    <row r="34" s="128" customFormat="1" ht="20.1" customHeight="1" spans="1:80">
      <c r="A34" s="157">
        <v>24</v>
      </c>
      <c r="B34" s="158">
        <v>24</v>
      </c>
      <c r="C34" s="159"/>
      <c r="D34" s="160">
        <v>2.92</v>
      </c>
      <c r="E34" s="160">
        <v>3.02</v>
      </c>
      <c r="F34" s="160">
        <v>2.92</v>
      </c>
      <c r="G34" s="160">
        <v>3.02</v>
      </c>
      <c r="H34" s="160">
        <v>2.89</v>
      </c>
      <c r="I34" s="160">
        <v>2.89</v>
      </c>
      <c r="J34" s="160">
        <v>2.89</v>
      </c>
      <c r="K34" s="160">
        <v>5.97</v>
      </c>
      <c r="L34" s="179">
        <v>5.72</v>
      </c>
      <c r="M34" s="176">
        <v>5.82</v>
      </c>
      <c r="N34" s="160">
        <v>5.82</v>
      </c>
      <c r="O34" s="179">
        <v>2.89</v>
      </c>
      <c r="P34" s="180">
        <v>2.89</v>
      </c>
      <c r="Q34" s="180">
        <v>5.72</v>
      </c>
      <c r="R34" s="192">
        <v>5.82</v>
      </c>
      <c r="S34" s="193">
        <v>2.953</v>
      </c>
      <c r="T34" s="160">
        <v>2.944928</v>
      </c>
      <c r="U34" s="160">
        <v>3.048377</v>
      </c>
      <c r="V34" s="160">
        <v>2.944384</v>
      </c>
      <c r="W34" s="160">
        <v>3.058309</v>
      </c>
      <c r="X34" s="194">
        <v>2.949895</v>
      </c>
      <c r="Y34" s="177">
        <v>2.945</v>
      </c>
      <c r="Z34" s="204">
        <v>2.95</v>
      </c>
      <c r="AA34" s="204">
        <v>2.949895</v>
      </c>
      <c r="AB34" s="204">
        <v>2.951582</v>
      </c>
      <c r="AC34" s="160">
        <v>2.95</v>
      </c>
      <c r="AD34" s="160">
        <v>3.05</v>
      </c>
      <c r="AE34" s="160">
        <v>2.95</v>
      </c>
      <c r="AF34" s="160">
        <v>3.05</v>
      </c>
      <c r="AG34" s="177">
        <v>2.868</v>
      </c>
      <c r="AH34" s="160">
        <v>2.95</v>
      </c>
      <c r="AI34" s="160">
        <v>3.05</v>
      </c>
      <c r="AJ34" s="160">
        <v>2.95</v>
      </c>
      <c r="AK34" s="160">
        <v>3.05</v>
      </c>
      <c r="AL34" s="204">
        <v>2.92966857142857</v>
      </c>
      <c r="AM34" s="177">
        <v>2.89</v>
      </c>
      <c r="AN34" s="177">
        <v>2.95</v>
      </c>
      <c r="AO34" s="160">
        <v>2.939</v>
      </c>
      <c r="AP34" s="160">
        <v>3.050613</v>
      </c>
      <c r="AQ34" s="160">
        <v>2.939</v>
      </c>
      <c r="AR34" s="160">
        <v>3.050613</v>
      </c>
      <c r="AS34" s="160">
        <v>2.939</v>
      </c>
      <c r="AT34" s="160">
        <v>3.050613</v>
      </c>
      <c r="AU34" s="160">
        <v>2.939</v>
      </c>
      <c r="AV34" s="160">
        <v>3.050613</v>
      </c>
      <c r="AW34" s="177">
        <v>2.939</v>
      </c>
      <c r="AX34" s="177">
        <v>3.050613</v>
      </c>
      <c r="AY34" s="160">
        <v>2.939</v>
      </c>
      <c r="AZ34" s="160">
        <v>3.050613</v>
      </c>
      <c r="BA34" s="183">
        <v>2.939</v>
      </c>
      <c r="BB34" s="183">
        <v>3.050613</v>
      </c>
      <c r="BC34" s="160">
        <v>2.928</v>
      </c>
      <c r="BD34" s="160">
        <v>2.938641</v>
      </c>
      <c r="BE34" s="160">
        <v>3.039094</v>
      </c>
      <c r="BF34" s="160">
        <v>2.927847</v>
      </c>
      <c r="BG34" s="160">
        <v>3.027847</v>
      </c>
      <c r="BH34" s="160">
        <v>2.95</v>
      </c>
      <c r="BI34" s="160">
        <v>3.06</v>
      </c>
      <c r="BJ34" s="177">
        <v>2.98</v>
      </c>
      <c r="BK34" s="160">
        <v>2.95</v>
      </c>
      <c r="BL34" s="160">
        <v>3.06</v>
      </c>
      <c r="BM34" s="160">
        <v>3.052</v>
      </c>
      <c r="BN34" s="177">
        <v>3.128</v>
      </c>
      <c r="BO34" s="177">
        <v>3.279</v>
      </c>
      <c r="BP34" s="235">
        <v>2.94</v>
      </c>
      <c r="BQ34" s="236">
        <v>3.06</v>
      </c>
      <c r="BR34" s="204">
        <v>2.95</v>
      </c>
      <c r="BS34" s="160">
        <v>2.939</v>
      </c>
      <c r="BT34" s="160">
        <v>2.939</v>
      </c>
      <c r="BU34" s="160">
        <v>2.939</v>
      </c>
      <c r="BV34" s="160">
        <v>2.939</v>
      </c>
      <c r="BW34" s="177">
        <v>2.939</v>
      </c>
      <c r="BX34" s="177">
        <v>2.939</v>
      </c>
      <c r="BY34" s="242">
        <v>2.93</v>
      </c>
      <c r="BZ34" s="204">
        <v>2.94</v>
      </c>
      <c r="CA34" s="242">
        <v>2.93</v>
      </c>
      <c r="CB34" s="160">
        <v>2.95</v>
      </c>
    </row>
    <row r="35" s="128" customFormat="1" ht="20.1" customHeight="1" spans="1:80">
      <c r="A35" s="157">
        <v>25</v>
      </c>
      <c r="B35" s="158">
        <v>25</v>
      </c>
      <c r="C35" s="159"/>
      <c r="D35" s="160">
        <v>2.93</v>
      </c>
      <c r="E35" s="160">
        <v>3.03</v>
      </c>
      <c r="F35" s="160">
        <v>2.93</v>
      </c>
      <c r="G35" s="160">
        <v>3.03</v>
      </c>
      <c r="H35" s="160">
        <v>2.9</v>
      </c>
      <c r="I35" s="160">
        <v>2.9</v>
      </c>
      <c r="J35" s="160">
        <v>2.9</v>
      </c>
      <c r="K35" s="160">
        <v>5.99</v>
      </c>
      <c r="L35" s="179">
        <v>5.74</v>
      </c>
      <c r="M35" s="176">
        <v>5.84</v>
      </c>
      <c r="N35" s="160">
        <v>5.84</v>
      </c>
      <c r="O35" s="179">
        <v>2.9</v>
      </c>
      <c r="P35" s="180">
        <v>2.9</v>
      </c>
      <c r="Q35" s="180">
        <v>5.74</v>
      </c>
      <c r="R35" s="192">
        <v>5.84</v>
      </c>
      <c r="S35" s="193">
        <v>2.971</v>
      </c>
      <c r="T35" s="160">
        <v>2.955904</v>
      </c>
      <c r="U35" s="160">
        <v>3.059245</v>
      </c>
      <c r="V35" s="160">
        <v>2.954493</v>
      </c>
      <c r="W35" s="160">
        <v>3.071682</v>
      </c>
      <c r="X35" s="194">
        <v>2.962106</v>
      </c>
      <c r="Y35" s="177">
        <v>2.954</v>
      </c>
      <c r="Z35" s="204">
        <v>2.97</v>
      </c>
      <c r="AA35" s="204">
        <v>2.962106</v>
      </c>
      <c r="AB35" s="204">
        <v>2.965218</v>
      </c>
      <c r="AC35" s="160">
        <v>2.96</v>
      </c>
      <c r="AD35" s="160">
        <v>3.06</v>
      </c>
      <c r="AE35" s="160">
        <v>2.96</v>
      </c>
      <c r="AF35" s="160">
        <v>3.06</v>
      </c>
      <c r="AG35" s="177">
        <v>2.871</v>
      </c>
      <c r="AH35" s="160">
        <v>2.96</v>
      </c>
      <c r="AI35" s="160">
        <v>3.06</v>
      </c>
      <c r="AJ35" s="160">
        <v>2.96</v>
      </c>
      <c r="AK35" s="160">
        <v>3.06</v>
      </c>
      <c r="AL35" s="204">
        <v>2.93808</v>
      </c>
      <c r="AM35" s="177">
        <v>2.9</v>
      </c>
      <c r="AN35" s="177">
        <v>2.96</v>
      </c>
      <c r="AO35" s="160">
        <v>2.949</v>
      </c>
      <c r="AP35" s="160">
        <v>3.062866</v>
      </c>
      <c r="AQ35" s="160">
        <v>2.949</v>
      </c>
      <c r="AR35" s="160">
        <v>3.062866</v>
      </c>
      <c r="AS35" s="160">
        <v>2.949</v>
      </c>
      <c r="AT35" s="160">
        <v>3.062866</v>
      </c>
      <c r="AU35" s="160">
        <v>2.949</v>
      </c>
      <c r="AV35" s="160">
        <v>3.062866</v>
      </c>
      <c r="AW35" s="177">
        <v>2.949</v>
      </c>
      <c r="AX35" s="177">
        <v>3.062866</v>
      </c>
      <c r="AY35" s="160">
        <v>2.949</v>
      </c>
      <c r="AZ35" s="160">
        <v>3.062866</v>
      </c>
      <c r="BA35" s="183">
        <v>2.949</v>
      </c>
      <c r="BB35" s="183">
        <v>3.062866</v>
      </c>
      <c r="BC35" s="160">
        <v>2.933</v>
      </c>
      <c r="BD35" s="160">
        <v>2.94697</v>
      </c>
      <c r="BE35" s="160">
        <v>3.048946</v>
      </c>
      <c r="BF35" s="160">
        <v>2.933398</v>
      </c>
      <c r="BG35" s="160">
        <v>3.033398</v>
      </c>
      <c r="BH35" s="160">
        <v>2.96</v>
      </c>
      <c r="BI35" s="160">
        <v>3.08</v>
      </c>
      <c r="BJ35" s="177">
        <v>3</v>
      </c>
      <c r="BK35" s="160">
        <v>2.96</v>
      </c>
      <c r="BL35" s="160">
        <v>3.08</v>
      </c>
      <c r="BM35" s="160">
        <v>3.067</v>
      </c>
      <c r="BN35" s="177">
        <v>3.145</v>
      </c>
      <c r="BO35" s="177">
        <v>3.303</v>
      </c>
      <c r="BP35" s="235">
        <v>2.95</v>
      </c>
      <c r="BQ35" s="236">
        <v>3.08</v>
      </c>
      <c r="BR35" s="204">
        <v>2.96</v>
      </c>
      <c r="BS35" s="160">
        <v>2.95</v>
      </c>
      <c r="BT35" s="160">
        <v>2.95</v>
      </c>
      <c r="BU35" s="160">
        <v>2.95</v>
      </c>
      <c r="BV35" s="160">
        <v>2.95</v>
      </c>
      <c r="BW35" s="177">
        <v>2.95</v>
      </c>
      <c r="BX35" s="177">
        <v>2.95</v>
      </c>
      <c r="BY35" s="242">
        <v>2.94</v>
      </c>
      <c r="BZ35" s="204">
        <v>2.95</v>
      </c>
      <c r="CA35" s="242">
        <v>2.94</v>
      </c>
      <c r="CB35" s="160">
        <v>2.97</v>
      </c>
    </row>
    <row r="36" s="128" customFormat="1" ht="20.1" customHeight="1" spans="1:80">
      <c r="A36" s="157">
        <v>26</v>
      </c>
      <c r="B36" s="158">
        <v>26</v>
      </c>
      <c r="C36" s="159"/>
      <c r="D36" s="160">
        <v>2.94</v>
      </c>
      <c r="E36" s="160">
        <v>3.04</v>
      </c>
      <c r="F36" s="160">
        <v>2.94</v>
      </c>
      <c r="G36" s="160">
        <v>3.04</v>
      </c>
      <c r="H36" s="160">
        <v>2.9</v>
      </c>
      <c r="I36" s="160">
        <v>2.9</v>
      </c>
      <c r="J36" s="160">
        <v>2.9</v>
      </c>
      <c r="K36" s="160">
        <v>6.01</v>
      </c>
      <c r="L36" s="176"/>
      <c r="M36" s="176">
        <v>5.86</v>
      </c>
      <c r="N36" s="160">
        <v>5.86</v>
      </c>
      <c r="O36" s="177"/>
      <c r="P36" s="178"/>
      <c r="Q36" s="192"/>
      <c r="R36" s="192">
        <v>5.86</v>
      </c>
      <c r="S36" s="196" t="s">
        <v>2257</v>
      </c>
      <c r="T36" s="160">
        <v>2.966958</v>
      </c>
      <c r="U36" s="160">
        <v>3.067038</v>
      </c>
      <c r="V36" s="160">
        <v>2.96478</v>
      </c>
      <c r="W36" s="160">
        <v>3.086172</v>
      </c>
      <c r="X36" s="197"/>
      <c r="Y36" s="177" t="s">
        <v>2257</v>
      </c>
      <c r="Z36" s="177"/>
      <c r="AA36" s="177"/>
      <c r="AB36" s="177"/>
      <c r="AC36" s="160">
        <v>2.97</v>
      </c>
      <c r="AD36" s="160">
        <v>3.07</v>
      </c>
      <c r="AE36" s="160">
        <v>2.97</v>
      </c>
      <c r="AF36" s="160">
        <v>3.07</v>
      </c>
      <c r="AG36" s="177" t="s">
        <v>2257</v>
      </c>
      <c r="AH36" s="160">
        <v>2.97</v>
      </c>
      <c r="AI36" s="160">
        <v>3.07</v>
      </c>
      <c r="AJ36" s="160">
        <v>2.97</v>
      </c>
      <c r="AK36" s="160">
        <v>3.07</v>
      </c>
      <c r="AL36" s="204">
        <v>2.94579285714286</v>
      </c>
      <c r="AM36" s="177"/>
      <c r="AN36" s="177"/>
      <c r="AO36" s="160">
        <v>2.959</v>
      </c>
      <c r="AP36" s="160">
        <v>3.074949</v>
      </c>
      <c r="AQ36" s="160">
        <v>2.959</v>
      </c>
      <c r="AR36" s="160">
        <v>3.074949</v>
      </c>
      <c r="AS36" s="160">
        <v>2.959</v>
      </c>
      <c r="AT36" s="160">
        <v>3.074949</v>
      </c>
      <c r="AU36" s="160">
        <v>2.959</v>
      </c>
      <c r="AV36" s="160">
        <v>3.074949</v>
      </c>
      <c r="AW36" s="177">
        <v>2.959</v>
      </c>
      <c r="AX36" s="177">
        <v>3.074949</v>
      </c>
      <c r="AY36" s="160">
        <v>2.959</v>
      </c>
      <c r="AZ36" s="160">
        <v>3.074949</v>
      </c>
      <c r="BA36" s="183">
        <v>2.959</v>
      </c>
      <c r="BB36" s="183">
        <v>3.074949</v>
      </c>
      <c r="BC36" s="160" t="s">
        <v>2337</v>
      </c>
      <c r="BD36" s="160">
        <v>2.955058</v>
      </c>
      <c r="BE36" s="160">
        <v>3.056673</v>
      </c>
      <c r="BF36" s="160">
        <v>2.938968</v>
      </c>
      <c r="BG36" s="160">
        <v>3.038968</v>
      </c>
      <c r="BH36" s="160">
        <v>2.97</v>
      </c>
      <c r="BI36" s="160">
        <v>3.09</v>
      </c>
      <c r="BJ36" s="177" t="s">
        <v>2257</v>
      </c>
      <c r="BK36" s="160">
        <v>2.97</v>
      </c>
      <c r="BL36" s="160">
        <v>3.09</v>
      </c>
      <c r="BM36" s="160">
        <v>3.083</v>
      </c>
      <c r="BN36" s="177">
        <v>3.16</v>
      </c>
      <c r="BO36" s="177">
        <v>3.326</v>
      </c>
      <c r="BP36" s="177"/>
      <c r="BQ36" s="177"/>
      <c r="BR36" s="177"/>
      <c r="BS36" s="160">
        <v>2.958</v>
      </c>
      <c r="BT36" s="160">
        <v>2.958</v>
      </c>
      <c r="BU36" s="160">
        <v>2.958</v>
      </c>
      <c r="BV36" s="160">
        <v>2.958</v>
      </c>
      <c r="BW36" s="177">
        <v>2.958</v>
      </c>
      <c r="BX36" s="177">
        <v>2.958</v>
      </c>
      <c r="BY36" s="243"/>
      <c r="BZ36" s="243"/>
      <c r="CA36" s="242"/>
      <c r="CB36" s="160" t="s">
        <v>2257</v>
      </c>
    </row>
    <row r="37" s="128" customFormat="1" ht="20.1" customHeight="1" spans="1:80">
      <c r="A37" s="157">
        <v>27</v>
      </c>
      <c r="B37" s="158">
        <v>27</v>
      </c>
      <c r="C37" s="159"/>
      <c r="D37" s="160">
        <v>2.95</v>
      </c>
      <c r="E37" s="160">
        <v>3.05</v>
      </c>
      <c r="F37" s="160">
        <v>2.95</v>
      </c>
      <c r="G37" s="160">
        <v>3.05</v>
      </c>
      <c r="H37" s="160">
        <v>2.92</v>
      </c>
      <c r="I37" s="160">
        <v>2.92</v>
      </c>
      <c r="J37" s="160">
        <v>2.92</v>
      </c>
      <c r="K37" s="160">
        <v>6.03</v>
      </c>
      <c r="L37" s="176"/>
      <c r="M37" s="176">
        <v>5.88</v>
      </c>
      <c r="N37" s="160">
        <v>5.88</v>
      </c>
      <c r="O37" s="177"/>
      <c r="P37" s="178"/>
      <c r="Q37" s="192"/>
      <c r="R37" s="192">
        <v>5.88</v>
      </c>
      <c r="S37" s="196" t="s">
        <v>2257</v>
      </c>
      <c r="T37" s="160">
        <v>2.977728</v>
      </c>
      <c r="U37" s="160">
        <v>3.07752</v>
      </c>
      <c r="V37" s="160">
        <v>2.975849</v>
      </c>
      <c r="W37" s="160">
        <v>3.097512</v>
      </c>
      <c r="X37" s="197"/>
      <c r="Y37" s="177" t="s">
        <v>2257</v>
      </c>
      <c r="Z37" s="177"/>
      <c r="AA37" s="177"/>
      <c r="AB37" s="177"/>
      <c r="AC37" s="160">
        <v>2.98</v>
      </c>
      <c r="AD37" s="160">
        <v>3.08</v>
      </c>
      <c r="AE37" s="160">
        <v>2.98</v>
      </c>
      <c r="AF37" s="160">
        <v>3.08</v>
      </c>
      <c r="AG37" s="177" t="s">
        <v>2257</v>
      </c>
      <c r="AH37" s="160">
        <v>2.98</v>
      </c>
      <c r="AI37" s="160">
        <v>3.08</v>
      </c>
      <c r="AJ37" s="160">
        <v>2.98</v>
      </c>
      <c r="AK37" s="160">
        <v>3.08</v>
      </c>
      <c r="AL37" s="204">
        <v>2.95465142857143</v>
      </c>
      <c r="AM37" s="177"/>
      <c r="AN37" s="177"/>
      <c r="AO37" s="160">
        <v>2.968</v>
      </c>
      <c r="AP37" s="160">
        <v>3.086823</v>
      </c>
      <c r="AQ37" s="160">
        <v>2.968</v>
      </c>
      <c r="AR37" s="160">
        <v>3.086823</v>
      </c>
      <c r="AS37" s="160">
        <v>2.968</v>
      </c>
      <c r="AT37" s="160">
        <v>3.086823</v>
      </c>
      <c r="AU37" s="160">
        <v>2.968</v>
      </c>
      <c r="AV37" s="160">
        <v>3.086823</v>
      </c>
      <c r="AW37" s="177">
        <v>2.968</v>
      </c>
      <c r="AX37" s="177">
        <v>3.086823</v>
      </c>
      <c r="AY37" s="160">
        <v>2.968</v>
      </c>
      <c r="AZ37" s="160">
        <v>3.086823</v>
      </c>
      <c r="BA37" s="183">
        <v>2.968</v>
      </c>
      <c r="BB37" s="183">
        <v>3.086823</v>
      </c>
      <c r="BC37" s="160" t="s">
        <v>2337</v>
      </c>
      <c r="BD37" s="160">
        <v>2.964375</v>
      </c>
      <c r="BE37" s="160">
        <v>3.066714</v>
      </c>
      <c r="BF37" s="160">
        <v>2.945741</v>
      </c>
      <c r="BG37" s="160">
        <v>3.045741</v>
      </c>
      <c r="BH37" s="160">
        <v>2.98</v>
      </c>
      <c r="BI37" s="160">
        <v>3.11</v>
      </c>
      <c r="BJ37" s="177" t="s">
        <v>2257</v>
      </c>
      <c r="BK37" s="160">
        <v>2.98</v>
      </c>
      <c r="BL37" s="160">
        <v>3.11</v>
      </c>
      <c r="BM37" s="160">
        <v>3.099</v>
      </c>
      <c r="BN37" s="177">
        <v>3.174</v>
      </c>
      <c r="BO37" s="177">
        <v>3.351</v>
      </c>
      <c r="BP37" s="177"/>
      <c r="BQ37" s="177"/>
      <c r="BR37" s="177"/>
      <c r="BS37" s="160">
        <v>2.966</v>
      </c>
      <c r="BT37" s="160">
        <v>2.966</v>
      </c>
      <c r="BU37" s="160">
        <v>2.966</v>
      </c>
      <c r="BV37" s="160">
        <v>2.966</v>
      </c>
      <c r="BW37" s="177">
        <v>2.966</v>
      </c>
      <c r="BX37" s="177">
        <v>2.966</v>
      </c>
      <c r="BY37" s="243"/>
      <c r="BZ37" s="243"/>
      <c r="CA37" s="242"/>
      <c r="CB37" s="160" t="s">
        <v>2257</v>
      </c>
    </row>
    <row r="38" s="128" customFormat="1" ht="20.1" customHeight="1" spans="1:80">
      <c r="A38" s="157">
        <v>28</v>
      </c>
      <c r="B38" s="158">
        <v>28</v>
      </c>
      <c r="C38" s="159"/>
      <c r="D38" s="160">
        <v>2.95</v>
      </c>
      <c r="E38" s="160">
        <v>3.05</v>
      </c>
      <c r="F38" s="160">
        <v>2.95</v>
      </c>
      <c r="G38" s="160">
        <v>3.05</v>
      </c>
      <c r="H38" s="160">
        <v>2.93</v>
      </c>
      <c r="I38" s="160">
        <v>2.93</v>
      </c>
      <c r="J38" s="160">
        <v>2.93</v>
      </c>
      <c r="K38" s="160">
        <v>6.04</v>
      </c>
      <c r="L38" s="176"/>
      <c r="M38" s="176">
        <v>5.9</v>
      </c>
      <c r="N38" s="160">
        <v>5.9</v>
      </c>
      <c r="O38" s="160"/>
      <c r="P38" s="183"/>
      <c r="Q38" s="192"/>
      <c r="R38" s="192">
        <v>5.9</v>
      </c>
      <c r="S38" s="196" t="s">
        <v>2257</v>
      </c>
      <c r="T38" s="160">
        <v>2.987855</v>
      </c>
      <c r="U38" s="160">
        <v>3.08908</v>
      </c>
      <c r="V38" s="160">
        <v>2.986564</v>
      </c>
      <c r="W38" s="160">
        <v>3.107492</v>
      </c>
      <c r="X38" s="197"/>
      <c r="Y38" s="177" t="s">
        <v>2257</v>
      </c>
      <c r="Z38" s="177"/>
      <c r="AA38" s="177"/>
      <c r="AB38" s="177"/>
      <c r="AC38" s="160">
        <v>2.99</v>
      </c>
      <c r="AD38" s="160">
        <v>3.09</v>
      </c>
      <c r="AE38" s="160">
        <v>2.99</v>
      </c>
      <c r="AF38" s="160">
        <v>3.09</v>
      </c>
      <c r="AG38" s="177" t="s">
        <v>2257</v>
      </c>
      <c r="AH38" s="160">
        <v>2.99</v>
      </c>
      <c r="AI38" s="160">
        <v>3.09</v>
      </c>
      <c r="AJ38" s="160">
        <v>2.99</v>
      </c>
      <c r="AK38" s="160">
        <v>3.09</v>
      </c>
      <c r="AL38" s="204">
        <v>2.96437714285714</v>
      </c>
      <c r="AM38" s="177"/>
      <c r="AN38" s="177"/>
      <c r="AO38" s="160">
        <v>2.977</v>
      </c>
      <c r="AP38" s="160">
        <v>3.098588</v>
      </c>
      <c r="AQ38" s="160">
        <v>2.977</v>
      </c>
      <c r="AR38" s="160">
        <v>3.098588</v>
      </c>
      <c r="AS38" s="160">
        <v>2.977</v>
      </c>
      <c r="AT38" s="160">
        <v>3.098588</v>
      </c>
      <c r="AU38" s="160">
        <v>2.977</v>
      </c>
      <c r="AV38" s="160">
        <v>3.098588</v>
      </c>
      <c r="AW38" s="177">
        <v>2.977</v>
      </c>
      <c r="AX38" s="177">
        <v>3.098588</v>
      </c>
      <c r="AY38" s="160">
        <v>2.977</v>
      </c>
      <c r="AZ38" s="160">
        <v>3.098588</v>
      </c>
      <c r="BA38" s="183">
        <v>2.977</v>
      </c>
      <c r="BB38" s="183">
        <v>3.098588</v>
      </c>
      <c r="BC38" s="160" t="s">
        <v>2337</v>
      </c>
      <c r="BD38" s="160">
        <v>2.973625</v>
      </c>
      <c r="BE38" s="160">
        <v>3.075088</v>
      </c>
      <c r="BF38" s="160">
        <v>2.952564</v>
      </c>
      <c r="BG38" s="160">
        <v>3.052564</v>
      </c>
      <c r="BH38" s="160">
        <v>2.99</v>
      </c>
      <c r="BI38" s="160">
        <v>3.13</v>
      </c>
      <c r="BJ38" s="177" t="s">
        <v>2257</v>
      </c>
      <c r="BK38" s="160">
        <v>2.99</v>
      </c>
      <c r="BL38" s="160">
        <v>3.13</v>
      </c>
      <c r="BM38" s="160">
        <v>3.115</v>
      </c>
      <c r="BN38" s="177">
        <v>3.19</v>
      </c>
      <c r="BO38" s="177">
        <v>3.374</v>
      </c>
      <c r="BP38" s="177"/>
      <c r="BQ38" s="177"/>
      <c r="BR38" s="177"/>
      <c r="BS38" s="160">
        <v>2.974</v>
      </c>
      <c r="BT38" s="160">
        <v>2.974</v>
      </c>
      <c r="BU38" s="160">
        <v>2.974</v>
      </c>
      <c r="BV38" s="160">
        <v>2.974</v>
      </c>
      <c r="BW38" s="177">
        <v>2.974</v>
      </c>
      <c r="BX38" s="177">
        <v>2.974</v>
      </c>
      <c r="BY38" s="177"/>
      <c r="BZ38" s="177"/>
      <c r="CA38" s="177"/>
      <c r="CB38" s="160" t="s">
        <v>2257</v>
      </c>
    </row>
    <row r="39" s="128" customFormat="1" ht="20.1" customHeight="1" spans="1:80">
      <c r="A39" s="157">
        <v>29</v>
      </c>
      <c r="B39" s="158">
        <v>29</v>
      </c>
      <c r="C39" s="159"/>
      <c r="D39" s="160">
        <v>2.96</v>
      </c>
      <c r="E39" s="160">
        <v>3.06</v>
      </c>
      <c r="F39" s="160">
        <v>2.96</v>
      </c>
      <c r="G39" s="160">
        <v>3.06</v>
      </c>
      <c r="H39" s="160">
        <v>2.94</v>
      </c>
      <c r="I39" s="160">
        <v>2.94</v>
      </c>
      <c r="J39" s="160">
        <v>2.94</v>
      </c>
      <c r="K39" s="160">
        <v>6.06</v>
      </c>
      <c r="L39" s="176"/>
      <c r="M39" s="176">
        <v>5.92</v>
      </c>
      <c r="N39" s="160">
        <v>5.92</v>
      </c>
      <c r="O39" s="160"/>
      <c r="P39" s="183"/>
      <c r="Q39" s="192"/>
      <c r="R39" s="192">
        <v>5.92</v>
      </c>
      <c r="S39" s="196" t="s">
        <v>2257</v>
      </c>
      <c r="T39" s="160">
        <v>2.999577</v>
      </c>
      <c r="U39" s="160">
        <v>3.101943</v>
      </c>
      <c r="V39" s="160">
        <v>2.99715</v>
      </c>
      <c r="W39" s="160">
        <v>3.124293</v>
      </c>
      <c r="X39" s="197"/>
      <c r="Y39" s="177" t="s">
        <v>2257</v>
      </c>
      <c r="Z39" s="177"/>
      <c r="AA39" s="177"/>
      <c r="AB39" s="177"/>
      <c r="AC39" s="160">
        <v>3</v>
      </c>
      <c r="AD39" s="160">
        <v>3.1</v>
      </c>
      <c r="AE39" s="160">
        <v>3</v>
      </c>
      <c r="AF39" s="160">
        <v>3.1</v>
      </c>
      <c r="AG39" s="177" t="s">
        <v>2257</v>
      </c>
      <c r="AH39" s="160">
        <v>3</v>
      </c>
      <c r="AI39" s="160">
        <v>3.1</v>
      </c>
      <c r="AJ39" s="160">
        <v>3</v>
      </c>
      <c r="AK39" s="160">
        <v>3.1</v>
      </c>
      <c r="AL39" s="204">
        <v>2.97307571428571</v>
      </c>
      <c r="AM39" s="177"/>
      <c r="AN39" s="177"/>
      <c r="AO39" s="160">
        <v>2.987</v>
      </c>
      <c r="AP39" s="160">
        <v>3.108257</v>
      </c>
      <c r="AQ39" s="160">
        <v>2.987</v>
      </c>
      <c r="AR39" s="160">
        <v>3.108257</v>
      </c>
      <c r="AS39" s="160">
        <v>2.987</v>
      </c>
      <c r="AT39" s="160">
        <v>3.108257</v>
      </c>
      <c r="AU39" s="160">
        <v>2.987</v>
      </c>
      <c r="AV39" s="160">
        <v>3.108257</v>
      </c>
      <c r="AW39" s="177">
        <v>2.987</v>
      </c>
      <c r="AX39" s="177">
        <v>3.108257</v>
      </c>
      <c r="AY39" s="160">
        <v>2.987</v>
      </c>
      <c r="AZ39" s="160">
        <v>3.108257</v>
      </c>
      <c r="BA39" s="183">
        <v>2.987</v>
      </c>
      <c r="BB39" s="183">
        <v>3.108257</v>
      </c>
      <c r="BC39" s="160" t="s">
        <v>2337</v>
      </c>
      <c r="BD39" s="160">
        <v>2.98206</v>
      </c>
      <c r="BE39" s="160">
        <v>3.08414</v>
      </c>
      <c r="BF39" s="160">
        <v>2.958889</v>
      </c>
      <c r="BG39" s="160">
        <v>3.058889</v>
      </c>
      <c r="BH39" s="160">
        <v>3</v>
      </c>
      <c r="BI39" s="160">
        <v>3.14</v>
      </c>
      <c r="BJ39" s="177" t="s">
        <v>2257</v>
      </c>
      <c r="BK39" s="160">
        <v>3</v>
      </c>
      <c r="BL39" s="160">
        <v>3.14</v>
      </c>
      <c r="BM39" s="160">
        <v>3.131</v>
      </c>
      <c r="BN39" s="177">
        <v>3.204</v>
      </c>
      <c r="BO39" s="177">
        <v>3.398</v>
      </c>
      <c r="BP39" s="177"/>
      <c r="BQ39" s="177"/>
      <c r="BR39" s="177"/>
      <c r="BS39" s="160">
        <v>2.982</v>
      </c>
      <c r="BT39" s="160">
        <v>2.982</v>
      </c>
      <c r="BU39" s="160">
        <v>2.982</v>
      </c>
      <c r="BV39" s="160">
        <v>2.982</v>
      </c>
      <c r="BW39" s="177">
        <v>2.982</v>
      </c>
      <c r="BX39" s="177">
        <v>2.982</v>
      </c>
      <c r="BY39" s="177"/>
      <c r="BZ39" s="177"/>
      <c r="CA39" s="177"/>
      <c r="CB39" s="160" t="s">
        <v>2257</v>
      </c>
    </row>
    <row r="40" s="128" customFormat="1" ht="20.1" customHeight="1" spans="1:80">
      <c r="A40" s="157">
        <v>30</v>
      </c>
      <c r="B40" s="158">
        <v>30</v>
      </c>
      <c r="C40" s="159"/>
      <c r="D40" s="160">
        <v>2.97</v>
      </c>
      <c r="E40" s="160">
        <v>3.07</v>
      </c>
      <c r="F40" s="160">
        <v>2.97</v>
      </c>
      <c r="G40" s="160">
        <v>3.07</v>
      </c>
      <c r="H40" s="160">
        <v>2.95</v>
      </c>
      <c r="I40" s="160">
        <v>2.95</v>
      </c>
      <c r="J40" s="160">
        <v>2.95</v>
      </c>
      <c r="K40" s="160">
        <v>6.08</v>
      </c>
      <c r="L40" s="176"/>
      <c r="M40" s="176">
        <v>5.94</v>
      </c>
      <c r="N40" s="160">
        <v>5.94</v>
      </c>
      <c r="O40" s="160"/>
      <c r="P40" s="183"/>
      <c r="Q40" s="192"/>
      <c r="R40" s="192">
        <v>5.94</v>
      </c>
      <c r="S40" s="196" t="s">
        <v>2257</v>
      </c>
      <c r="T40" s="160">
        <v>3.008773</v>
      </c>
      <c r="U40" s="160">
        <v>3.113274</v>
      </c>
      <c r="V40" s="160">
        <v>3.007397</v>
      </c>
      <c r="W40" s="160">
        <v>3.13696</v>
      </c>
      <c r="X40" s="197"/>
      <c r="Y40" s="177" t="s">
        <v>2257</v>
      </c>
      <c r="Z40" s="177"/>
      <c r="AA40" s="177"/>
      <c r="AB40" s="177"/>
      <c r="AC40" s="160">
        <v>3.01</v>
      </c>
      <c r="AD40" s="160">
        <v>3.12</v>
      </c>
      <c r="AE40" s="160">
        <v>3.01</v>
      </c>
      <c r="AF40" s="160">
        <v>3.12</v>
      </c>
      <c r="AG40" s="177" t="s">
        <v>2257</v>
      </c>
      <c r="AH40" s="160">
        <v>3.01</v>
      </c>
      <c r="AI40" s="160">
        <v>3.12</v>
      </c>
      <c r="AJ40" s="160">
        <v>3.01</v>
      </c>
      <c r="AK40" s="160">
        <v>3.12</v>
      </c>
      <c r="AL40" s="204">
        <v>2.98035428571429</v>
      </c>
      <c r="AM40" s="177"/>
      <c r="AN40" s="177"/>
      <c r="AO40" s="160">
        <v>2.996</v>
      </c>
      <c r="AP40" s="160">
        <v>3.119937</v>
      </c>
      <c r="AQ40" s="160">
        <v>2.996</v>
      </c>
      <c r="AR40" s="160">
        <v>3.119937</v>
      </c>
      <c r="AS40" s="160">
        <v>2.996</v>
      </c>
      <c r="AT40" s="160">
        <v>3.119937</v>
      </c>
      <c r="AU40" s="160">
        <v>2.996</v>
      </c>
      <c r="AV40" s="160">
        <v>3.119937</v>
      </c>
      <c r="AW40" s="177">
        <v>2.996</v>
      </c>
      <c r="AX40" s="177">
        <v>3.119937</v>
      </c>
      <c r="AY40" s="160">
        <v>2.996</v>
      </c>
      <c r="AZ40" s="160">
        <v>3.119937</v>
      </c>
      <c r="BA40" s="183">
        <v>2.996</v>
      </c>
      <c r="BB40" s="183">
        <v>3.119937</v>
      </c>
      <c r="BC40" s="160" t="s">
        <v>2337</v>
      </c>
      <c r="BD40" s="160">
        <v>2.990763</v>
      </c>
      <c r="BE40" s="160">
        <v>3.093295</v>
      </c>
      <c r="BF40" s="160">
        <v>2.966065</v>
      </c>
      <c r="BG40" s="160">
        <v>3.066065</v>
      </c>
      <c r="BH40" s="160">
        <v>3.01</v>
      </c>
      <c r="BI40" s="160">
        <v>3.16</v>
      </c>
      <c r="BJ40" s="177" t="s">
        <v>2257</v>
      </c>
      <c r="BK40" s="160">
        <v>3.01</v>
      </c>
      <c r="BL40" s="160">
        <v>3.16</v>
      </c>
      <c r="BM40" s="160">
        <v>3.146</v>
      </c>
      <c r="BN40" s="177">
        <v>3.22</v>
      </c>
      <c r="BO40" s="177">
        <v>3.421</v>
      </c>
      <c r="BP40" s="177"/>
      <c r="BQ40" s="177"/>
      <c r="BR40" s="177"/>
      <c r="BS40" s="160">
        <v>2.99</v>
      </c>
      <c r="BT40" s="160">
        <v>2.99</v>
      </c>
      <c r="BU40" s="160">
        <v>2.99</v>
      </c>
      <c r="BV40" s="160">
        <v>2.99</v>
      </c>
      <c r="BW40" s="177">
        <v>2.99</v>
      </c>
      <c r="BX40" s="177">
        <v>2.99</v>
      </c>
      <c r="BY40" s="177"/>
      <c r="BZ40" s="177"/>
      <c r="CA40" s="177"/>
      <c r="CB40" s="160" t="s">
        <v>2257</v>
      </c>
    </row>
  </sheetData>
  <mergeCells count="42">
    <mergeCell ref="B4:C4"/>
    <mergeCell ref="D4:G4"/>
    <mergeCell ref="H4:R4"/>
    <mergeCell ref="S4:AB4"/>
    <mergeCell ref="AC4:AL4"/>
    <mergeCell ref="AM4:BB4"/>
    <mergeCell ref="BC4:BG4"/>
    <mergeCell ref="BH4:BR4"/>
    <mergeCell ref="BS4:BZ4"/>
    <mergeCell ref="B9:C9"/>
    <mergeCell ref="B10:C10"/>
    <mergeCell ref="B11:C11"/>
    <mergeCell ref="B12:C12"/>
    <mergeCell ref="B13:C13"/>
    <mergeCell ref="B14:C14"/>
    <mergeCell ref="B15:C15"/>
    <mergeCell ref="B16:C16"/>
    <mergeCell ref="B17:C17"/>
    <mergeCell ref="B18:C18"/>
    <mergeCell ref="B19:C19"/>
    <mergeCell ref="B20:C20"/>
    <mergeCell ref="B21:C21"/>
    <mergeCell ref="B22:C22"/>
    <mergeCell ref="B23:C23"/>
    <mergeCell ref="B24:C24"/>
    <mergeCell ref="B25:C25"/>
    <mergeCell ref="B26:C26"/>
    <mergeCell ref="B27:C27"/>
    <mergeCell ref="B28:C28"/>
    <mergeCell ref="B29:C29"/>
    <mergeCell ref="B30:C30"/>
    <mergeCell ref="B31:C31"/>
    <mergeCell ref="B32:C32"/>
    <mergeCell ref="B33:C33"/>
    <mergeCell ref="B34:C34"/>
    <mergeCell ref="B35:C35"/>
    <mergeCell ref="B36:C36"/>
    <mergeCell ref="B37:C37"/>
    <mergeCell ref="B38:C38"/>
    <mergeCell ref="B39:C39"/>
    <mergeCell ref="B40:C40"/>
    <mergeCell ref="B5:B8"/>
  </mergeCells>
  <pageMargins left="0.7" right="0.7" top="0.75" bottom="0.75" header="0.3" footer="0.3"/>
  <pageSetup paperSize="9" orientation="portrait" horizontalDpi="300" verticalDpi="300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6"/>
  <dimension ref="A1:BE119"/>
  <sheetViews>
    <sheetView zoomScale="85" zoomScaleNormal="85" topLeftCell="C84" workbookViewId="0">
      <selection activeCell="G97" sqref="G97:H119"/>
    </sheetView>
  </sheetViews>
  <sheetFormatPr defaultColWidth="8.77777777777778" defaultRowHeight="14.4"/>
  <cols>
    <col min="1" max="1" width="8.77777777777778" style="63" hidden="1" customWidth="1"/>
    <col min="2" max="2" width="38.1111111111111" style="63" customWidth="1"/>
    <col min="3" max="26" width="18.2222222222222" style="63" customWidth="1"/>
    <col min="27" max="16384" width="8.77777777777778" style="63"/>
  </cols>
  <sheetData>
    <row r="1" s="59" customFormat="1" ht="33" customHeight="1" spans="1:57">
      <c r="A1" s="64"/>
      <c r="B1" s="116">
        <v>3006</v>
      </c>
      <c r="C1" s="66" t="s">
        <v>3115</v>
      </c>
      <c r="D1" s="66" t="s">
        <v>3008</v>
      </c>
      <c r="E1" s="66" t="s">
        <v>3116</v>
      </c>
      <c r="F1" s="66" t="s">
        <v>3117</v>
      </c>
      <c r="G1" s="117"/>
      <c r="H1" s="66" t="s">
        <v>3115</v>
      </c>
      <c r="I1" s="66" t="s">
        <v>3008</v>
      </c>
      <c r="J1" s="66" t="s">
        <v>3116</v>
      </c>
      <c r="K1" s="66" t="s">
        <v>3117</v>
      </c>
      <c r="L1" s="67"/>
      <c r="M1" s="67"/>
      <c r="N1" s="67"/>
      <c r="O1" s="67"/>
      <c r="P1" s="67"/>
      <c r="Q1" s="67"/>
      <c r="R1" s="123"/>
      <c r="S1" s="123"/>
      <c r="T1" s="67"/>
      <c r="U1" s="67"/>
      <c r="V1" s="67"/>
      <c r="W1" s="67"/>
      <c r="X1" s="67"/>
      <c r="Y1" s="67"/>
      <c r="Z1" s="67"/>
      <c r="AA1" s="67"/>
      <c r="AB1" s="67"/>
      <c r="AC1" s="67"/>
      <c r="AD1" s="67"/>
      <c r="AE1" s="67"/>
      <c r="AF1" s="67"/>
      <c r="AG1" s="67"/>
      <c r="AH1" s="67"/>
      <c r="AI1" s="67"/>
      <c r="AJ1" s="67"/>
      <c r="AK1" s="67"/>
      <c r="AL1" s="67"/>
      <c r="AM1" s="67"/>
      <c r="AN1" s="67"/>
      <c r="AO1" s="67"/>
      <c r="AP1" s="67"/>
      <c r="AQ1" s="67"/>
      <c r="AR1" s="67"/>
      <c r="AS1" s="67"/>
      <c r="AT1" s="67"/>
      <c r="AU1" s="67"/>
      <c r="AV1" s="67"/>
      <c r="AW1" s="67"/>
      <c r="AX1" s="67"/>
      <c r="AY1" s="67"/>
      <c r="AZ1" s="67"/>
      <c r="BA1" s="67"/>
      <c r="BB1" s="67"/>
      <c r="BC1" s="67"/>
      <c r="BD1" s="67"/>
      <c r="BE1" s="67"/>
    </row>
    <row r="2" s="60" customFormat="1" ht="51" customHeight="1" spans="1:57">
      <c r="A2" s="69"/>
      <c r="B2" s="118"/>
      <c r="C2" s="71" t="str">
        <f>IF(OR(亮度與BLU功耗!E16="",亮度與BLU功耗!E18=""),"",亮度與BLU功耗!E16&amp;"*"&amp;亮度與BLU功耗!E18)</f>
        <v>5*11</v>
      </c>
      <c r="D2" s="72">
        <f>亮度與BLU功耗!E21</f>
        <v>22</v>
      </c>
      <c r="E2" s="73" t="str">
        <f>C2</f>
        <v>5*11</v>
      </c>
      <c r="F2" s="73">
        <f>IF(OR(E2="",E2="Please Check The LED Series",D2="",D2=0),"Please Check LED or Current",INDEX(C7:Z26,MATCH(D2,B7:B26,1),MATCH(E2,C6:Z6,0)))</f>
        <v>0.9167</v>
      </c>
      <c r="G2" s="119"/>
      <c r="H2" s="71" t="str">
        <f>IF(OR(亮度與BLU功耗!E16="",亮度與BLU功耗!E18=""),"",亮度與BLU功耗!E17&amp;"*"&amp;亮度與BLU功耗!E18)</f>
        <v>3*11</v>
      </c>
      <c r="I2" s="72">
        <f>亮度與BLU功耗!E21</f>
        <v>22</v>
      </c>
      <c r="J2" s="73" t="str">
        <f>H2</f>
        <v>3*11</v>
      </c>
      <c r="K2" s="73">
        <f>IF(OR(J2="",J2="Please Check The LED Series",I2="",I2=0),"Please Check LED or Current",IF(亮度與BLU功耗!E17=0,0,INDEX(C7:Z26,MATCH(I2,B7:B26,1),MATCH(J2,C6:Z6,0))))</f>
        <v>0.8951</v>
      </c>
      <c r="L2" s="74"/>
      <c r="M2" s="74"/>
      <c r="N2" s="74"/>
      <c r="O2" s="74"/>
      <c r="P2" s="74"/>
      <c r="Q2" s="74"/>
      <c r="R2" s="124"/>
      <c r="S2" s="124"/>
      <c r="T2" s="74"/>
      <c r="U2" s="74"/>
      <c r="V2" s="74"/>
      <c r="W2" s="74"/>
      <c r="X2" s="74"/>
      <c r="Y2" s="74"/>
      <c r="Z2" s="74"/>
      <c r="AA2" s="74"/>
      <c r="AB2" s="74"/>
      <c r="AC2" s="74"/>
      <c r="AD2" s="74"/>
      <c r="AE2" s="74"/>
      <c r="AF2" s="74"/>
      <c r="AG2" s="74"/>
      <c r="AH2" s="74"/>
      <c r="AI2" s="74"/>
      <c r="AJ2" s="74"/>
      <c r="AK2" s="74"/>
      <c r="AL2" s="74"/>
      <c r="AM2" s="74"/>
      <c r="AN2" s="74"/>
      <c r="AO2" s="74"/>
      <c r="AP2" s="74"/>
      <c r="AQ2" s="74"/>
      <c r="AR2" s="74"/>
      <c r="AS2" s="74"/>
      <c r="AT2" s="74"/>
      <c r="AU2" s="74"/>
      <c r="AV2" s="74"/>
      <c r="AW2" s="74"/>
      <c r="AX2" s="74"/>
      <c r="AY2" s="74"/>
      <c r="AZ2" s="74"/>
      <c r="BA2" s="74"/>
      <c r="BB2" s="74"/>
      <c r="BC2" s="74"/>
      <c r="BD2" s="74"/>
      <c r="BE2" s="74"/>
    </row>
    <row r="3" ht="40.5" customHeight="1" spans="1:26">
      <c r="A3" s="83" t="s">
        <v>3118</v>
      </c>
      <c r="B3" s="83"/>
      <c r="C3" s="83"/>
      <c r="D3" s="83"/>
      <c r="E3" s="83"/>
      <c r="F3" s="83"/>
      <c r="G3" s="83"/>
      <c r="H3" s="83"/>
      <c r="I3" s="83"/>
      <c r="J3" s="83"/>
      <c r="K3" s="83"/>
      <c r="L3" s="83"/>
      <c r="M3" s="83"/>
      <c r="N3" s="83"/>
      <c r="O3" s="83"/>
      <c r="P3" s="83"/>
      <c r="Q3" s="83"/>
      <c r="R3" s="83"/>
      <c r="S3" s="83"/>
      <c r="T3" s="83"/>
      <c r="U3" s="83"/>
      <c r="V3" s="83"/>
      <c r="W3" s="83"/>
      <c r="X3" s="83"/>
      <c r="Y3" s="83"/>
      <c r="Z3" s="83"/>
    </row>
    <row r="4" ht="16.2" spans="2:26">
      <c r="B4" s="85" t="s">
        <v>3119</v>
      </c>
      <c r="C4" s="93">
        <v>3</v>
      </c>
      <c r="D4" s="93"/>
      <c r="E4" s="93"/>
      <c r="F4" s="93"/>
      <c r="G4" s="93"/>
      <c r="H4" s="93"/>
      <c r="I4" s="121">
        <v>4</v>
      </c>
      <c r="J4" s="121"/>
      <c r="K4" s="121"/>
      <c r="L4" s="121"/>
      <c r="M4" s="121"/>
      <c r="N4" s="121"/>
      <c r="O4" s="122">
        <v>5</v>
      </c>
      <c r="P4" s="122"/>
      <c r="Q4" s="122"/>
      <c r="R4" s="122"/>
      <c r="S4" s="122"/>
      <c r="T4" s="122"/>
      <c r="U4" s="125">
        <v>6</v>
      </c>
      <c r="V4" s="125"/>
      <c r="W4" s="125"/>
      <c r="X4" s="125"/>
      <c r="Y4" s="125"/>
      <c r="Z4" s="125"/>
    </row>
    <row r="5" ht="16.2" spans="2:26">
      <c r="B5" s="92" t="s">
        <v>3120</v>
      </c>
      <c r="C5" s="93">
        <v>8</v>
      </c>
      <c r="D5" s="93">
        <v>9</v>
      </c>
      <c r="E5" s="93">
        <v>10</v>
      </c>
      <c r="F5" s="93">
        <v>11</v>
      </c>
      <c r="G5" s="93">
        <v>12</v>
      </c>
      <c r="H5" s="93">
        <v>13</v>
      </c>
      <c r="I5" s="94">
        <v>8</v>
      </c>
      <c r="J5" s="94">
        <v>9</v>
      </c>
      <c r="K5" s="94">
        <v>10</v>
      </c>
      <c r="L5" s="94">
        <v>11</v>
      </c>
      <c r="M5" s="94">
        <v>12</v>
      </c>
      <c r="N5" s="94">
        <v>13</v>
      </c>
      <c r="O5" s="110">
        <v>8</v>
      </c>
      <c r="P5" s="110">
        <v>9</v>
      </c>
      <c r="Q5" s="110">
        <v>10</v>
      </c>
      <c r="R5" s="110">
        <v>11</v>
      </c>
      <c r="S5" s="110">
        <v>12</v>
      </c>
      <c r="T5" s="110">
        <v>13</v>
      </c>
      <c r="U5" s="111">
        <v>8</v>
      </c>
      <c r="V5" s="111">
        <v>9</v>
      </c>
      <c r="W5" s="111">
        <v>10</v>
      </c>
      <c r="X5" s="111">
        <v>11</v>
      </c>
      <c r="Y5" s="111">
        <v>12</v>
      </c>
      <c r="Z5" s="111">
        <v>13</v>
      </c>
    </row>
    <row r="6" ht="40.5" customHeight="1" spans="1:26">
      <c r="A6" s="95" t="s">
        <v>3121</v>
      </c>
      <c r="B6" s="96" t="s">
        <v>3122</v>
      </c>
      <c r="C6" s="97" t="s">
        <v>3123</v>
      </c>
      <c r="D6" s="97" t="s">
        <v>3124</v>
      </c>
      <c r="E6" s="97" t="s">
        <v>3125</v>
      </c>
      <c r="F6" s="97" t="s">
        <v>3126</v>
      </c>
      <c r="G6" s="97" t="s">
        <v>3127</v>
      </c>
      <c r="H6" s="97" t="s">
        <v>3128</v>
      </c>
      <c r="I6" s="97" t="s">
        <v>3129</v>
      </c>
      <c r="J6" s="97" t="s">
        <v>3130</v>
      </c>
      <c r="K6" s="97" t="s">
        <v>3131</v>
      </c>
      <c r="L6" s="97" t="s">
        <v>3132</v>
      </c>
      <c r="M6" s="97" t="s">
        <v>3133</v>
      </c>
      <c r="N6" s="97" t="s">
        <v>3134</v>
      </c>
      <c r="O6" s="97" t="s">
        <v>3135</v>
      </c>
      <c r="P6" s="97" t="s">
        <v>3136</v>
      </c>
      <c r="Q6" s="97" t="s">
        <v>3137</v>
      </c>
      <c r="R6" s="97" t="s">
        <v>3138</v>
      </c>
      <c r="S6" s="97" t="s">
        <v>3139</v>
      </c>
      <c r="T6" s="97" t="s">
        <v>3140</v>
      </c>
      <c r="U6" s="97" t="s">
        <v>3141</v>
      </c>
      <c r="V6" s="97" t="s">
        <v>3142</v>
      </c>
      <c r="W6" s="97" t="s">
        <v>3143</v>
      </c>
      <c r="X6" s="97" t="s">
        <v>3144</v>
      </c>
      <c r="Y6" s="97" t="s">
        <v>3145</v>
      </c>
      <c r="Z6" s="97" t="s">
        <v>3146</v>
      </c>
    </row>
    <row r="7" s="62" customFormat="1" ht="15" spans="1:26">
      <c r="A7" s="98">
        <v>1</v>
      </c>
      <c r="B7" s="99">
        <v>6</v>
      </c>
      <c r="C7" s="102">
        <v>0.8392</v>
      </c>
      <c r="D7" s="102">
        <v>0.8239</v>
      </c>
      <c r="E7" s="102">
        <v>0.8255</v>
      </c>
      <c r="F7" s="102">
        <v>0.8021</v>
      </c>
      <c r="G7" s="102">
        <v>0.8008</v>
      </c>
      <c r="H7" s="102">
        <v>0.8313</v>
      </c>
      <c r="I7" s="102">
        <v>0.8258</v>
      </c>
      <c r="J7" s="102">
        <v>0.8373</v>
      </c>
      <c r="K7" s="102">
        <v>0.8635</v>
      </c>
      <c r="L7" s="102">
        <v>0.8641</v>
      </c>
      <c r="M7" s="102">
        <v>0.8654</v>
      </c>
      <c r="N7" s="102">
        <v>0.8752</v>
      </c>
      <c r="O7" s="102">
        <v>0.8946</v>
      </c>
      <c r="P7" s="102">
        <v>0.8946</v>
      </c>
      <c r="Q7" s="102">
        <v>0.8959</v>
      </c>
      <c r="R7" s="102">
        <v>0.8948</v>
      </c>
      <c r="S7" s="102">
        <v>0.8872</v>
      </c>
      <c r="T7" s="102">
        <v>0.8833</v>
      </c>
      <c r="U7" s="102">
        <v>0.8884</v>
      </c>
      <c r="V7" s="102">
        <v>0.8903</v>
      </c>
      <c r="W7" s="102">
        <v>0.8844</v>
      </c>
      <c r="X7" s="102">
        <v>0.8819</v>
      </c>
      <c r="Y7" s="102">
        <v>0.8823</v>
      </c>
      <c r="Z7" s="102">
        <v>0.8836</v>
      </c>
    </row>
    <row r="8" s="62" customFormat="1" ht="15" spans="1:26">
      <c r="A8" s="98"/>
      <c r="B8" s="99">
        <v>7</v>
      </c>
      <c r="C8" s="102">
        <v>0.853</v>
      </c>
      <c r="D8" s="102">
        <v>0.8442</v>
      </c>
      <c r="E8" s="102">
        <v>0.8433</v>
      </c>
      <c r="F8" s="102">
        <v>0.82</v>
      </c>
      <c r="G8" s="102">
        <v>0.8276</v>
      </c>
      <c r="H8" s="102">
        <v>0.823</v>
      </c>
      <c r="I8" s="102">
        <v>0.8531</v>
      </c>
      <c r="J8" s="102">
        <v>0.8444</v>
      </c>
      <c r="K8" s="102">
        <v>0.8875</v>
      </c>
      <c r="L8" s="102">
        <v>0.8828</v>
      </c>
      <c r="M8" s="102">
        <v>0.8928</v>
      </c>
      <c r="N8" s="102">
        <v>0.8813</v>
      </c>
      <c r="O8" s="102">
        <v>0.8861</v>
      </c>
      <c r="P8" s="102">
        <v>0.8979</v>
      </c>
      <c r="Q8" s="102">
        <v>0.8869</v>
      </c>
      <c r="R8" s="102">
        <v>0.8867</v>
      </c>
      <c r="S8" s="102">
        <v>0.8833</v>
      </c>
      <c r="T8" s="102">
        <v>0.874</v>
      </c>
      <c r="U8" s="102">
        <v>0.8924</v>
      </c>
      <c r="V8" s="102">
        <v>0.886</v>
      </c>
      <c r="W8" s="102">
        <v>0.8883</v>
      </c>
      <c r="X8" s="102">
        <v>0.8855</v>
      </c>
      <c r="Y8" s="102">
        <v>0.8815</v>
      </c>
      <c r="Z8" s="102">
        <v>0.8915</v>
      </c>
    </row>
    <row r="9" s="62" customFormat="1" ht="15" spans="1:26">
      <c r="A9" s="98"/>
      <c r="B9" s="99">
        <v>8</v>
      </c>
      <c r="C9" s="102">
        <v>0.8708</v>
      </c>
      <c r="D9" s="102">
        <v>0.8644</v>
      </c>
      <c r="E9" s="102">
        <v>0.8699</v>
      </c>
      <c r="F9" s="102">
        <v>0.8346</v>
      </c>
      <c r="G9" s="102">
        <v>0.8382</v>
      </c>
      <c r="H9" s="102">
        <v>0.8522</v>
      </c>
      <c r="I9" s="102">
        <v>0.8621</v>
      </c>
      <c r="J9" s="102">
        <v>0.8731</v>
      </c>
      <c r="K9" s="102">
        <v>0.8903</v>
      </c>
      <c r="L9" s="102">
        <v>0.8875</v>
      </c>
      <c r="M9" s="102">
        <v>0.8871</v>
      </c>
      <c r="N9" s="102">
        <v>0.873</v>
      </c>
      <c r="O9" s="102">
        <v>0.8909</v>
      </c>
      <c r="P9" s="102">
        <v>0.8905</v>
      </c>
      <c r="Q9" s="102">
        <v>0.8814</v>
      </c>
      <c r="R9" s="102">
        <v>0.881</v>
      </c>
      <c r="S9" s="102">
        <v>0.8803</v>
      </c>
      <c r="T9" s="102">
        <v>0.8811</v>
      </c>
      <c r="U9" s="102">
        <v>0.8967</v>
      </c>
      <c r="V9" s="102">
        <v>0.8961</v>
      </c>
      <c r="W9" s="102">
        <v>0.8893</v>
      </c>
      <c r="X9" s="102">
        <v>0.8892</v>
      </c>
      <c r="Y9" s="102">
        <v>0.8939</v>
      </c>
      <c r="Z9" s="102">
        <v>0.8975</v>
      </c>
    </row>
    <row r="10" s="62" customFormat="1" ht="15" spans="1:26">
      <c r="A10" s="98"/>
      <c r="B10" s="99">
        <v>9</v>
      </c>
      <c r="C10" s="102">
        <v>0.8874</v>
      </c>
      <c r="D10" s="102">
        <v>0.8646</v>
      </c>
      <c r="E10" s="102">
        <v>0.8838</v>
      </c>
      <c r="F10" s="102">
        <v>0.8576</v>
      </c>
      <c r="G10" s="102">
        <v>0.8574</v>
      </c>
      <c r="H10" s="102">
        <v>0.8574</v>
      </c>
      <c r="I10" s="102">
        <v>0.8578</v>
      </c>
      <c r="J10" s="102">
        <v>0.868</v>
      </c>
      <c r="K10" s="102">
        <v>0.8799</v>
      </c>
      <c r="L10" s="102">
        <v>0.8831</v>
      </c>
      <c r="M10" s="102">
        <v>0.8751</v>
      </c>
      <c r="N10" s="102">
        <v>0.875</v>
      </c>
      <c r="O10" s="102">
        <v>0.8853</v>
      </c>
      <c r="P10" s="102">
        <v>0.8911</v>
      </c>
      <c r="Q10" s="102">
        <v>0.8862</v>
      </c>
      <c r="R10" s="102">
        <v>0.8839</v>
      </c>
      <c r="S10" s="102">
        <v>0.8915</v>
      </c>
      <c r="T10" s="102">
        <v>0.8886</v>
      </c>
      <c r="U10" s="102">
        <v>0.9021</v>
      </c>
      <c r="V10" s="102">
        <v>0.9019</v>
      </c>
      <c r="W10" s="102">
        <v>0.9037</v>
      </c>
      <c r="X10" s="102">
        <v>0.903</v>
      </c>
      <c r="Y10" s="102">
        <v>0.9</v>
      </c>
      <c r="Z10" s="102">
        <v>0.9075</v>
      </c>
    </row>
    <row r="11" s="62" customFormat="1" ht="15" spans="1:26">
      <c r="A11" s="98"/>
      <c r="B11" s="99">
        <v>10</v>
      </c>
      <c r="C11" s="102">
        <v>0.8981</v>
      </c>
      <c r="D11" s="102">
        <v>0.873</v>
      </c>
      <c r="E11" s="102">
        <v>0.8946</v>
      </c>
      <c r="F11" s="102">
        <v>0.8677</v>
      </c>
      <c r="G11" s="102">
        <v>0.8649</v>
      </c>
      <c r="H11" s="102">
        <v>0.8625</v>
      </c>
      <c r="I11" s="102">
        <v>0.8667</v>
      </c>
      <c r="J11" s="102">
        <v>0.8651</v>
      </c>
      <c r="K11" s="102">
        <v>0.8849</v>
      </c>
      <c r="L11" s="102">
        <v>0.882</v>
      </c>
      <c r="M11" s="102">
        <v>0.8805</v>
      </c>
      <c r="N11" s="102">
        <v>0.8772</v>
      </c>
      <c r="O11" s="102">
        <v>0.8917</v>
      </c>
      <c r="P11" s="102">
        <v>0.894</v>
      </c>
      <c r="Q11" s="102">
        <v>0.8974</v>
      </c>
      <c r="R11" s="102">
        <v>0.9007</v>
      </c>
      <c r="S11" s="102">
        <v>0.896</v>
      </c>
      <c r="T11" s="102">
        <v>0.8983</v>
      </c>
      <c r="U11" s="102">
        <v>0.916</v>
      </c>
      <c r="V11" s="102">
        <v>0.9164</v>
      </c>
      <c r="W11" s="102">
        <v>0.9118</v>
      </c>
      <c r="X11" s="102">
        <v>0.9051</v>
      </c>
      <c r="Y11" s="102">
        <v>0.9091</v>
      </c>
      <c r="Z11" s="102">
        <v>0.8987</v>
      </c>
    </row>
    <row r="12" s="62" customFormat="1" ht="15" spans="1:26">
      <c r="A12" s="98"/>
      <c r="B12" s="99">
        <v>11</v>
      </c>
      <c r="C12" s="102">
        <v>0.905</v>
      </c>
      <c r="D12" s="102">
        <v>0.8793</v>
      </c>
      <c r="E12" s="102">
        <v>0.8944</v>
      </c>
      <c r="F12" s="102">
        <v>0.8588</v>
      </c>
      <c r="G12" s="102">
        <v>0.8551</v>
      </c>
      <c r="H12" s="102">
        <v>0.8598</v>
      </c>
      <c r="I12" s="102">
        <v>0.8646</v>
      </c>
      <c r="J12" s="102">
        <v>0.8642</v>
      </c>
      <c r="K12" s="102">
        <v>0.8845</v>
      </c>
      <c r="L12" s="102">
        <v>0.8871</v>
      </c>
      <c r="M12" s="112">
        <v>0.8865</v>
      </c>
      <c r="N12" s="102">
        <v>0.8807</v>
      </c>
      <c r="O12" s="102">
        <v>0.9059</v>
      </c>
      <c r="P12" s="102">
        <v>0.908</v>
      </c>
      <c r="Q12" s="102">
        <v>0.9028</v>
      </c>
      <c r="R12" s="102">
        <v>0.9091</v>
      </c>
      <c r="S12" s="102">
        <v>0.9004</v>
      </c>
      <c r="T12" s="102">
        <v>0.9006</v>
      </c>
      <c r="U12" s="102">
        <v>0.9125</v>
      </c>
      <c r="V12" s="102">
        <v>0.9102</v>
      </c>
      <c r="W12" s="102">
        <v>0.9002</v>
      </c>
      <c r="X12" s="102">
        <v>0.9023</v>
      </c>
      <c r="Y12" s="102">
        <v>0.8978</v>
      </c>
      <c r="Z12" s="102">
        <v>0.9049</v>
      </c>
    </row>
    <row r="13" s="62" customFormat="1" ht="15" spans="1:26">
      <c r="A13" s="98"/>
      <c r="B13" s="99">
        <v>12</v>
      </c>
      <c r="C13" s="102">
        <v>0.896</v>
      </c>
      <c r="D13" s="102">
        <v>0.8727</v>
      </c>
      <c r="E13" s="102">
        <v>0.8916</v>
      </c>
      <c r="F13" s="102">
        <v>0.8603</v>
      </c>
      <c r="G13" s="102">
        <v>0.8629</v>
      </c>
      <c r="H13" s="102">
        <v>0.8584</v>
      </c>
      <c r="I13" s="102">
        <v>0.8816</v>
      </c>
      <c r="J13" s="102">
        <v>0.8725</v>
      </c>
      <c r="K13" s="102">
        <v>0.888</v>
      </c>
      <c r="L13" s="102">
        <v>0.893</v>
      </c>
      <c r="M13" s="102">
        <v>0.8859</v>
      </c>
      <c r="N13" s="102">
        <v>0.8921</v>
      </c>
      <c r="O13" s="102">
        <v>0.9112</v>
      </c>
      <c r="P13" s="102">
        <v>0.9133</v>
      </c>
      <c r="Q13" s="102">
        <v>0.9095</v>
      </c>
      <c r="R13" s="102">
        <v>0.906</v>
      </c>
      <c r="S13" s="102">
        <v>0.9094</v>
      </c>
      <c r="T13" s="102">
        <v>0.8992</v>
      </c>
      <c r="U13" s="102">
        <v>0.9129</v>
      </c>
      <c r="V13" s="102">
        <v>0.9018</v>
      </c>
      <c r="W13" s="102">
        <v>0.891</v>
      </c>
      <c r="X13" s="102">
        <v>0.8949</v>
      </c>
      <c r="Y13" s="102">
        <v>0.8994</v>
      </c>
      <c r="Z13" s="102">
        <v>0.9023</v>
      </c>
    </row>
    <row r="14" s="62" customFormat="1" ht="15" spans="1:26">
      <c r="A14" s="98"/>
      <c r="B14" s="99">
        <v>13</v>
      </c>
      <c r="C14" s="102">
        <v>0.9001</v>
      </c>
      <c r="D14" s="102">
        <v>0.8815</v>
      </c>
      <c r="E14" s="102">
        <v>0.8882</v>
      </c>
      <c r="F14" s="102">
        <v>0.872</v>
      </c>
      <c r="G14" s="102">
        <v>0.8653</v>
      </c>
      <c r="H14" s="102">
        <v>0.8658</v>
      </c>
      <c r="I14" s="102">
        <v>0.8902</v>
      </c>
      <c r="J14" s="102">
        <v>0.8811</v>
      </c>
      <c r="K14" s="102">
        <v>0.9043</v>
      </c>
      <c r="L14" s="102">
        <v>0.9005</v>
      </c>
      <c r="M14" s="102">
        <v>0.8979</v>
      </c>
      <c r="N14" s="102">
        <v>0.9029</v>
      </c>
      <c r="O14" s="102">
        <v>0.9158</v>
      </c>
      <c r="P14" s="102">
        <v>0.9154</v>
      </c>
      <c r="Q14" s="102">
        <v>0.9128</v>
      </c>
      <c r="R14" s="102">
        <v>0.9037</v>
      </c>
      <c r="S14" s="102">
        <v>0.9081</v>
      </c>
      <c r="T14" s="102">
        <v>0.9024</v>
      </c>
      <c r="U14" s="102">
        <v>0.9156</v>
      </c>
      <c r="V14" s="102">
        <v>0.9106</v>
      </c>
      <c r="W14" s="102">
        <v>0.8928</v>
      </c>
      <c r="X14" s="102">
        <v>0.905</v>
      </c>
      <c r="Y14" s="102">
        <v>0.9014</v>
      </c>
      <c r="Z14" s="102">
        <v>0.9033</v>
      </c>
    </row>
    <row r="15" s="62" customFormat="1" ht="15" spans="1:26">
      <c r="A15" s="98"/>
      <c r="B15" s="99">
        <v>14</v>
      </c>
      <c r="C15" s="102">
        <v>0.8987</v>
      </c>
      <c r="D15" s="102">
        <v>0.8846</v>
      </c>
      <c r="E15" s="102">
        <v>0.8811</v>
      </c>
      <c r="F15" s="102">
        <v>0.8644</v>
      </c>
      <c r="G15" s="102">
        <v>0.8771</v>
      </c>
      <c r="H15" s="102">
        <v>0.8752</v>
      </c>
      <c r="I15" s="102">
        <v>0.894</v>
      </c>
      <c r="J15" s="102">
        <v>0.8936</v>
      </c>
      <c r="K15" s="102">
        <v>0.9095</v>
      </c>
      <c r="L15" s="102">
        <v>0.9136</v>
      </c>
      <c r="M15" s="102">
        <v>0.9065</v>
      </c>
      <c r="N15" s="102">
        <v>0.9006</v>
      </c>
      <c r="O15" s="102">
        <v>0.9179</v>
      </c>
      <c r="P15" s="102">
        <v>0.9114</v>
      </c>
      <c r="Q15" s="102">
        <v>0.906</v>
      </c>
      <c r="R15" s="102">
        <v>0.9051</v>
      </c>
      <c r="S15" s="102">
        <v>0.902</v>
      </c>
      <c r="T15" s="102">
        <v>0.8981</v>
      </c>
      <c r="U15" s="102">
        <v>0.9194</v>
      </c>
      <c r="V15" s="102">
        <v>0.9166</v>
      </c>
      <c r="W15" s="102">
        <v>0.9152</v>
      </c>
      <c r="X15" s="102">
        <v>0.9101</v>
      </c>
      <c r="Y15" s="102">
        <v>0.9086</v>
      </c>
      <c r="Z15" s="102">
        <v>0.9172</v>
      </c>
    </row>
    <row r="16" s="62" customFormat="1" ht="15" spans="1:26">
      <c r="A16" s="98"/>
      <c r="B16" s="99">
        <v>15</v>
      </c>
      <c r="C16" s="102">
        <v>0.8994</v>
      </c>
      <c r="D16" s="102">
        <v>0.8874</v>
      </c>
      <c r="E16" s="102">
        <v>0.8939</v>
      </c>
      <c r="F16" s="102">
        <v>0.8782</v>
      </c>
      <c r="G16" s="102">
        <v>0.8813</v>
      </c>
      <c r="H16" s="102">
        <v>0.878</v>
      </c>
      <c r="I16" s="102">
        <v>0.898</v>
      </c>
      <c r="J16" s="102">
        <v>0.8976</v>
      </c>
      <c r="K16" s="102">
        <v>0.914</v>
      </c>
      <c r="L16" s="102">
        <v>0.9102</v>
      </c>
      <c r="M16" s="102">
        <v>0.8989</v>
      </c>
      <c r="N16" s="102">
        <v>0.9033</v>
      </c>
      <c r="O16" s="102">
        <v>0.9143</v>
      </c>
      <c r="P16" s="102">
        <v>0.9204</v>
      </c>
      <c r="Q16" s="102">
        <v>0.9081</v>
      </c>
      <c r="R16" s="102">
        <v>0.9025</v>
      </c>
      <c r="S16" s="102">
        <v>0.9008</v>
      </c>
      <c r="T16" s="102">
        <v>0.9054</v>
      </c>
      <c r="U16" s="102">
        <v>0.92</v>
      </c>
      <c r="V16" s="102">
        <v>0.9159</v>
      </c>
      <c r="W16" s="102">
        <v>0.9141</v>
      </c>
      <c r="X16" s="102">
        <v>0.911</v>
      </c>
      <c r="Y16" s="102">
        <v>0.9169</v>
      </c>
      <c r="Z16" s="102">
        <v>0.9194</v>
      </c>
    </row>
    <row r="17" s="62" customFormat="1" ht="15" spans="1:26">
      <c r="A17" s="98"/>
      <c r="B17" s="99">
        <v>16</v>
      </c>
      <c r="C17" s="102">
        <v>0.904</v>
      </c>
      <c r="D17" s="102">
        <v>0.88</v>
      </c>
      <c r="E17" s="102">
        <v>0.8826</v>
      </c>
      <c r="F17" s="102">
        <v>0.8777</v>
      </c>
      <c r="G17" s="102">
        <v>0.8956</v>
      </c>
      <c r="H17" s="102">
        <v>0.8867</v>
      </c>
      <c r="I17" s="102">
        <v>0.9083</v>
      </c>
      <c r="J17" s="102">
        <v>0.9083</v>
      </c>
      <c r="K17" s="102">
        <v>0.9165</v>
      </c>
      <c r="L17" s="102">
        <v>0.9093</v>
      </c>
      <c r="M17" s="102">
        <v>0.9012</v>
      </c>
      <c r="N17" s="102">
        <v>0.8976</v>
      </c>
      <c r="O17" s="102">
        <v>0.9111</v>
      </c>
      <c r="P17" s="102">
        <v>0.9168</v>
      </c>
      <c r="Q17" s="102">
        <v>0.9052</v>
      </c>
      <c r="R17" s="102">
        <v>0.9081</v>
      </c>
      <c r="S17" s="102">
        <v>0.9147</v>
      </c>
      <c r="T17" s="102">
        <v>0.9044</v>
      </c>
      <c r="U17" s="102">
        <v>0.9221</v>
      </c>
      <c r="V17" s="102">
        <v>0.9246</v>
      </c>
      <c r="W17" s="102">
        <v>0.916</v>
      </c>
      <c r="X17" s="102">
        <v>0.9195</v>
      </c>
      <c r="Y17" s="102">
        <v>0.9208</v>
      </c>
      <c r="Z17" s="102">
        <v>0.9094</v>
      </c>
    </row>
    <row r="18" s="62" customFormat="1" ht="15" spans="1:26">
      <c r="A18" s="98"/>
      <c r="B18" s="99">
        <v>17</v>
      </c>
      <c r="C18" s="102">
        <v>0.8818</v>
      </c>
      <c r="D18" s="102">
        <v>0.8826</v>
      </c>
      <c r="E18" s="102">
        <v>0.8832</v>
      </c>
      <c r="F18" s="102">
        <v>0.8846</v>
      </c>
      <c r="G18" s="102">
        <v>0.8893</v>
      </c>
      <c r="H18" s="102">
        <v>0.894</v>
      </c>
      <c r="I18" s="102">
        <v>0.9046</v>
      </c>
      <c r="J18" s="102">
        <v>0.8986</v>
      </c>
      <c r="K18" s="102">
        <v>0.9085</v>
      </c>
      <c r="L18" s="102">
        <v>0.9031</v>
      </c>
      <c r="M18" s="102">
        <v>0.8958</v>
      </c>
      <c r="N18" s="102">
        <v>0.9105</v>
      </c>
      <c r="O18" s="102">
        <v>0.9086</v>
      </c>
      <c r="P18" s="102">
        <v>0.9138</v>
      </c>
      <c r="Q18" s="102">
        <v>0.91</v>
      </c>
      <c r="R18" s="102">
        <v>0.9097</v>
      </c>
      <c r="S18" s="102">
        <v>0.9134</v>
      </c>
      <c r="T18" s="102">
        <v>0.9099</v>
      </c>
      <c r="U18" s="102">
        <v>0.931</v>
      </c>
      <c r="V18" s="102">
        <v>0.9265</v>
      </c>
      <c r="W18" s="102">
        <v>0.9238</v>
      </c>
      <c r="X18" s="102">
        <v>0.9194</v>
      </c>
      <c r="Y18" s="102">
        <v>0.9091</v>
      </c>
      <c r="Z18" s="102">
        <v>0.9152</v>
      </c>
    </row>
    <row r="19" s="62" customFormat="1" ht="15" spans="1:26">
      <c r="A19" s="98"/>
      <c r="B19" s="99">
        <v>18</v>
      </c>
      <c r="C19" s="102">
        <v>0.914</v>
      </c>
      <c r="D19" s="102">
        <v>0.9089</v>
      </c>
      <c r="E19" s="102">
        <v>0.8904</v>
      </c>
      <c r="F19" s="102">
        <v>0.8898</v>
      </c>
      <c r="G19" s="102">
        <v>0.8927</v>
      </c>
      <c r="H19" s="102">
        <v>0.891</v>
      </c>
      <c r="I19" s="102">
        <v>0.9078</v>
      </c>
      <c r="J19" s="102">
        <v>0.896</v>
      </c>
      <c r="K19" s="102">
        <v>0.9041</v>
      </c>
      <c r="L19" s="102">
        <v>0.9064</v>
      </c>
      <c r="M19" s="102">
        <v>0.8946</v>
      </c>
      <c r="N19" s="102">
        <v>0.9076</v>
      </c>
      <c r="O19" s="102">
        <v>0.9161</v>
      </c>
      <c r="P19" s="102">
        <v>0.9154</v>
      </c>
      <c r="Q19" s="102">
        <v>0.9109</v>
      </c>
      <c r="R19" s="102">
        <v>0.9151</v>
      </c>
      <c r="S19" s="102">
        <v>0.9155</v>
      </c>
      <c r="T19" s="102">
        <v>0.9158</v>
      </c>
      <c r="U19" s="102">
        <v>0.9289</v>
      </c>
      <c r="V19" s="102">
        <v>0.9295</v>
      </c>
      <c r="W19" s="102">
        <v>0.9224</v>
      </c>
      <c r="X19" s="102">
        <v>0.9102</v>
      </c>
      <c r="Y19" s="102">
        <v>0.911</v>
      </c>
      <c r="Z19" s="102">
        <v>0.9154</v>
      </c>
    </row>
    <row r="20" s="62" customFormat="1" ht="15" spans="1:26">
      <c r="A20" s="98"/>
      <c r="B20" s="99">
        <v>19</v>
      </c>
      <c r="C20" s="102">
        <v>0.9285</v>
      </c>
      <c r="D20" s="102">
        <v>0.8946</v>
      </c>
      <c r="E20" s="102">
        <v>0.8999</v>
      </c>
      <c r="F20" s="102">
        <v>0.9001</v>
      </c>
      <c r="G20" s="102">
        <v>0.8963</v>
      </c>
      <c r="H20" s="102">
        <v>0.8889</v>
      </c>
      <c r="I20" s="102">
        <v>0.9004</v>
      </c>
      <c r="J20" s="102">
        <v>0.9</v>
      </c>
      <c r="K20" s="102">
        <v>0.9009</v>
      </c>
      <c r="L20" s="102">
        <v>0.9042</v>
      </c>
      <c r="M20" s="102">
        <v>0.91</v>
      </c>
      <c r="N20" s="102">
        <v>0.9069</v>
      </c>
      <c r="O20" s="102">
        <v>0.9191</v>
      </c>
      <c r="P20" s="102">
        <v>0.9243</v>
      </c>
      <c r="Q20" s="102">
        <v>0.921</v>
      </c>
      <c r="R20" s="102">
        <v>0.9169</v>
      </c>
      <c r="S20" s="102">
        <v>0.9162</v>
      </c>
      <c r="T20" s="102">
        <v>0.9088</v>
      </c>
      <c r="U20" s="102">
        <v>0.9295</v>
      </c>
      <c r="V20" s="102">
        <v>0.9223</v>
      </c>
      <c r="W20" s="102">
        <v>0.9143</v>
      </c>
      <c r="X20" s="102">
        <v>0.913</v>
      </c>
      <c r="Y20" s="102">
        <v>0.9151</v>
      </c>
      <c r="Z20" s="102">
        <v>0.9098</v>
      </c>
    </row>
    <row r="21" s="62" customFormat="1" ht="15" spans="1:26">
      <c r="A21" s="98"/>
      <c r="B21" s="99">
        <v>20</v>
      </c>
      <c r="C21" s="102">
        <v>0.9205</v>
      </c>
      <c r="D21" s="102">
        <v>0.9036</v>
      </c>
      <c r="E21" s="102">
        <v>0.9058</v>
      </c>
      <c r="F21" s="102">
        <v>0.9</v>
      </c>
      <c r="G21" s="102">
        <v>0.8912</v>
      </c>
      <c r="H21" s="102">
        <v>0.8877</v>
      </c>
      <c r="I21" s="102">
        <v>0.8992</v>
      </c>
      <c r="J21" s="102">
        <v>0.8934</v>
      </c>
      <c r="K21" s="102">
        <v>0.9105</v>
      </c>
      <c r="L21" s="102">
        <v>0.911</v>
      </c>
      <c r="M21" s="102">
        <v>0.9059</v>
      </c>
      <c r="N21" s="102">
        <v>0.9057</v>
      </c>
      <c r="O21" s="102">
        <v>0.9229</v>
      </c>
      <c r="P21" s="102">
        <v>0.9274</v>
      </c>
      <c r="Q21" s="102">
        <v>0.9228</v>
      </c>
      <c r="R21" s="102">
        <v>0.9122</v>
      </c>
      <c r="S21" s="102">
        <v>0.9075</v>
      </c>
      <c r="T21" s="102">
        <v>0.9055</v>
      </c>
      <c r="U21" s="102">
        <v>0.9243</v>
      </c>
      <c r="V21" s="102">
        <v>0.9232</v>
      </c>
      <c r="W21" s="102">
        <v>0.9158</v>
      </c>
      <c r="X21" s="102">
        <v>0.9152</v>
      </c>
      <c r="Y21" s="102">
        <v>0.9157</v>
      </c>
      <c r="Z21" s="102">
        <v>0.9117</v>
      </c>
    </row>
    <row r="22" s="62" customFormat="1" ht="15" spans="1:26">
      <c r="A22" s="98"/>
      <c r="B22" s="99">
        <v>21</v>
      </c>
      <c r="C22" s="102">
        <v>0.922</v>
      </c>
      <c r="D22" s="102">
        <v>0.9062</v>
      </c>
      <c r="E22" s="102">
        <v>0.9002</v>
      </c>
      <c r="F22" s="102">
        <v>0.8948</v>
      </c>
      <c r="G22" s="102">
        <v>0.8949</v>
      </c>
      <c r="H22" s="102">
        <v>0.8825</v>
      </c>
      <c r="I22" s="102">
        <v>0.9036</v>
      </c>
      <c r="J22" s="102">
        <v>0.9032</v>
      </c>
      <c r="K22" s="102">
        <v>0.91</v>
      </c>
      <c r="L22" s="102">
        <v>0.9059</v>
      </c>
      <c r="M22" s="102">
        <v>0.9089</v>
      </c>
      <c r="N22" s="102">
        <v>0.9111</v>
      </c>
      <c r="O22" s="102">
        <v>0.9302</v>
      </c>
      <c r="P22" s="102">
        <v>0.9266</v>
      </c>
      <c r="Q22" s="102">
        <v>0.9184</v>
      </c>
      <c r="R22" s="102">
        <v>0.9141</v>
      </c>
      <c r="S22" s="102">
        <v>0.9197</v>
      </c>
      <c r="T22" s="102">
        <v>0.9002</v>
      </c>
      <c r="U22" s="102">
        <v>0.933</v>
      </c>
      <c r="V22" s="102">
        <v>0.9188</v>
      </c>
      <c r="W22" s="102">
        <v>0.9192</v>
      </c>
      <c r="X22" s="102">
        <v>0.9099</v>
      </c>
      <c r="Y22" s="102">
        <v>0.9089</v>
      </c>
      <c r="Z22" s="102">
        <v>0.9247</v>
      </c>
    </row>
    <row r="23" s="62" customFormat="1" ht="15" spans="1:26">
      <c r="A23" s="98"/>
      <c r="B23" s="99">
        <v>22</v>
      </c>
      <c r="C23" s="102">
        <v>0.9183</v>
      </c>
      <c r="D23" s="102">
        <v>0.9043</v>
      </c>
      <c r="E23" s="102">
        <v>0.9091</v>
      </c>
      <c r="F23" s="102">
        <v>0.8951</v>
      </c>
      <c r="G23" s="102">
        <v>0.8901</v>
      </c>
      <c r="H23" s="102">
        <v>0.8898</v>
      </c>
      <c r="I23" s="102">
        <v>0.9024</v>
      </c>
      <c r="J23" s="102">
        <v>0.8979</v>
      </c>
      <c r="K23" s="102">
        <v>0.9103</v>
      </c>
      <c r="L23" s="102">
        <v>0.917</v>
      </c>
      <c r="M23" s="102">
        <v>0.9093</v>
      </c>
      <c r="N23" s="102">
        <v>0.914</v>
      </c>
      <c r="O23" s="102">
        <v>0.9249</v>
      </c>
      <c r="P23" s="102">
        <v>0.9216</v>
      </c>
      <c r="Q23" s="102">
        <v>0.9216</v>
      </c>
      <c r="R23" s="102">
        <v>0.9167</v>
      </c>
      <c r="S23" s="102">
        <v>0.9139</v>
      </c>
      <c r="T23" s="102">
        <v>0.9054</v>
      </c>
      <c r="U23" s="102">
        <v>0.9281</v>
      </c>
      <c r="V23" s="102">
        <v>0.9234</v>
      </c>
      <c r="W23" s="102">
        <v>0.9137</v>
      </c>
      <c r="X23" s="102">
        <v>0.9147</v>
      </c>
      <c r="Y23" s="102">
        <v>0.9126</v>
      </c>
      <c r="Z23" s="102">
        <v>0.9154</v>
      </c>
    </row>
    <row r="24" s="62" customFormat="1" ht="15" spans="1:26">
      <c r="A24" s="98"/>
      <c r="B24" s="99">
        <v>23</v>
      </c>
      <c r="C24" s="102">
        <v>0.9139</v>
      </c>
      <c r="D24" s="102">
        <v>0.8998</v>
      </c>
      <c r="E24" s="102">
        <v>0.8924</v>
      </c>
      <c r="F24" s="102">
        <v>0.8917</v>
      </c>
      <c r="G24" s="102">
        <v>0.8898</v>
      </c>
      <c r="H24" s="102">
        <v>0.8889</v>
      </c>
      <c r="I24" s="102">
        <v>0.9064</v>
      </c>
      <c r="J24" s="102">
        <v>0.9115</v>
      </c>
      <c r="K24" s="102">
        <v>0.9171</v>
      </c>
      <c r="L24" s="102">
        <v>0.9206</v>
      </c>
      <c r="M24" s="102">
        <v>0.9033</v>
      </c>
      <c r="N24" s="102">
        <v>0.9009</v>
      </c>
      <c r="O24" s="102">
        <v>0.9248</v>
      </c>
      <c r="P24" s="102">
        <v>0.9248</v>
      </c>
      <c r="Q24" s="102">
        <v>0.9153</v>
      </c>
      <c r="R24" s="102">
        <v>0.9107</v>
      </c>
      <c r="S24" s="102">
        <v>0.9095</v>
      </c>
      <c r="T24" s="102">
        <v>0.9065</v>
      </c>
      <c r="U24" s="102">
        <v>0.9273</v>
      </c>
      <c r="V24" s="102">
        <v>0.9246</v>
      </c>
      <c r="W24" s="102">
        <v>0.9257</v>
      </c>
      <c r="X24" s="102">
        <v>0.9186</v>
      </c>
      <c r="Y24" s="102">
        <v>0.9084</v>
      </c>
      <c r="Z24" s="102">
        <v>0.9183</v>
      </c>
    </row>
    <row r="25" s="62" customFormat="1" ht="15" spans="1:26">
      <c r="A25" s="98"/>
      <c r="B25" s="99">
        <v>24</v>
      </c>
      <c r="C25" s="102">
        <v>0.9004</v>
      </c>
      <c r="D25" s="102">
        <v>0.8968</v>
      </c>
      <c r="E25" s="102">
        <v>0.8949</v>
      </c>
      <c r="F25" s="102">
        <v>0.8925</v>
      </c>
      <c r="G25" s="102">
        <v>0.8939</v>
      </c>
      <c r="H25" s="102">
        <v>0.8917</v>
      </c>
      <c r="I25" s="102">
        <v>0.9064</v>
      </c>
      <c r="J25" s="102">
        <v>0.9114</v>
      </c>
      <c r="K25" s="102">
        <v>0.9179</v>
      </c>
      <c r="L25" s="102">
        <v>0.9164</v>
      </c>
      <c r="M25" s="102">
        <v>0.9156</v>
      </c>
      <c r="N25" s="102">
        <v>0.9072</v>
      </c>
      <c r="O25" s="102">
        <v>0.9207</v>
      </c>
      <c r="P25" s="102">
        <v>0.9211</v>
      </c>
      <c r="Q25" s="102">
        <v>0.9048</v>
      </c>
      <c r="R25" s="102">
        <v>0.916</v>
      </c>
      <c r="S25" s="102">
        <v>0.905</v>
      </c>
      <c r="T25" s="102">
        <v>0.906</v>
      </c>
      <c r="U25" s="102">
        <v>0.927</v>
      </c>
      <c r="V25" s="102">
        <v>0.9208</v>
      </c>
      <c r="W25" s="102">
        <v>0.9203</v>
      </c>
      <c r="X25" s="102">
        <v>0.9119</v>
      </c>
      <c r="Y25" s="102">
        <v>0.9207</v>
      </c>
      <c r="Z25" s="102">
        <v>0.9176</v>
      </c>
    </row>
    <row r="26" s="62" customFormat="1" ht="15" spans="1:26">
      <c r="A26" s="98"/>
      <c r="B26" s="99">
        <v>25</v>
      </c>
      <c r="C26" s="102">
        <v>0.8987</v>
      </c>
      <c r="D26" s="102">
        <v>0.8994</v>
      </c>
      <c r="E26" s="102">
        <v>0.9031</v>
      </c>
      <c r="F26" s="102">
        <v>0.8937</v>
      </c>
      <c r="G26" s="102">
        <v>0.8938</v>
      </c>
      <c r="H26" s="102">
        <v>0.8949</v>
      </c>
      <c r="I26" s="102">
        <v>0.9107</v>
      </c>
      <c r="J26" s="102">
        <v>0.9151</v>
      </c>
      <c r="K26" s="102">
        <v>0.9221</v>
      </c>
      <c r="L26" s="102">
        <v>0.9161</v>
      </c>
      <c r="M26" s="102">
        <v>0.9073</v>
      </c>
      <c r="N26" s="102">
        <v>0.8999</v>
      </c>
      <c r="O26" s="102">
        <v>0.9169</v>
      </c>
      <c r="P26" s="102">
        <v>0.9172</v>
      </c>
      <c r="Q26" s="102">
        <v>0.9129</v>
      </c>
      <c r="R26" s="102">
        <v>0.911</v>
      </c>
      <c r="S26" s="102">
        <v>0.9015</v>
      </c>
      <c r="T26" s="102">
        <v>0.9065</v>
      </c>
      <c r="U26" s="102">
        <v>0.9237</v>
      </c>
      <c r="V26" s="102">
        <v>0.9169</v>
      </c>
      <c r="W26" s="102">
        <v>0.9213</v>
      </c>
      <c r="X26" s="102">
        <v>0.9137</v>
      </c>
      <c r="Y26" s="102">
        <v>0.9071</v>
      </c>
      <c r="Z26" s="102">
        <v>0.9158</v>
      </c>
    </row>
    <row r="29" s="59" customFormat="1" ht="33" customHeight="1" spans="1:57">
      <c r="A29" s="64"/>
      <c r="B29" s="116">
        <v>4206</v>
      </c>
      <c r="C29" s="66" t="s">
        <v>3115</v>
      </c>
      <c r="D29" s="66" t="s">
        <v>3008</v>
      </c>
      <c r="E29" s="66" t="s">
        <v>3116</v>
      </c>
      <c r="F29" s="66" t="s">
        <v>3117</v>
      </c>
      <c r="G29" s="117"/>
      <c r="H29" s="66" t="s">
        <v>3115</v>
      </c>
      <c r="I29" s="66" t="s">
        <v>3008</v>
      </c>
      <c r="J29" s="66" t="s">
        <v>3116</v>
      </c>
      <c r="K29" s="66" t="s">
        <v>3117</v>
      </c>
      <c r="L29" s="67"/>
      <c r="M29" s="67"/>
      <c r="N29" s="67"/>
      <c r="O29" s="67"/>
      <c r="P29" s="67"/>
      <c r="Q29" s="67"/>
      <c r="R29" s="123"/>
      <c r="S29" s="123"/>
      <c r="T29" s="67"/>
      <c r="U29" s="67"/>
      <c r="V29" s="67"/>
      <c r="W29" s="67"/>
      <c r="X29" s="67"/>
      <c r="Y29" s="67"/>
      <c r="Z29" s="67"/>
      <c r="AA29" s="67"/>
      <c r="AB29" s="67"/>
      <c r="AC29" s="67"/>
      <c r="AD29" s="67"/>
      <c r="AE29" s="67"/>
      <c r="AF29" s="67"/>
      <c r="AG29" s="67"/>
      <c r="AH29" s="67"/>
      <c r="AI29" s="67"/>
      <c r="AJ29" s="67"/>
      <c r="AK29" s="67"/>
      <c r="AL29" s="67"/>
      <c r="AM29" s="67"/>
      <c r="AN29" s="67"/>
      <c r="AO29" s="67"/>
      <c r="AP29" s="67"/>
      <c r="AQ29" s="67"/>
      <c r="AR29" s="67"/>
      <c r="AS29" s="67"/>
      <c r="AT29" s="67"/>
      <c r="AU29" s="67"/>
      <c r="AV29" s="67"/>
      <c r="AW29" s="67"/>
      <c r="AX29" s="67"/>
      <c r="AY29" s="67"/>
      <c r="AZ29" s="67"/>
      <c r="BA29" s="67"/>
      <c r="BB29" s="67"/>
      <c r="BC29" s="67"/>
      <c r="BD29" s="67"/>
      <c r="BE29" s="67"/>
    </row>
    <row r="30" s="60" customFormat="1" ht="51" customHeight="1" spans="1:57">
      <c r="A30" s="69"/>
      <c r="B30" s="118"/>
      <c r="C30" s="71" t="str">
        <f>IF(OR(亮度與BLU功耗!E16="",亮度與BLU功耗!E18=""),"",亮度與BLU功耗!E16&amp;"*"&amp;亮度與BLU功耗!E18)</f>
        <v>5*11</v>
      </c>
      <c r="D30" s="72">
        <f>亮度與BLU功耗!E21</f>
        <v>22</v>
      </c>
      <c r="E30" s="73" t="str">
        <f>C30</f>
        <v>5*11</v>
      </c>
      <c r="F30" s="73" t="e">
        <f>IF(OR(E2="",E2="Please Check The LED Series",D2="",D2=0),"Please Check LED or Current",INDEX(C35:N54,MATCH(D30,B35:B54,1),MATCH(E30,C34:N34,0)))</f>
        <v>#N/A</v>
      </c>
      <c r="G30" s="119"/>
      <c r="H30" s="71" t="str">
        <f>IF(OR(亮度與BLU功耗!E16="",亮度與BLU功耗!E18=""),"",亮度與BLU功耗!E17&amp;"*"&amp;亮度與BLU功耗!E18)</f>
        <v>3*11</v>
      </c>
      <c r="I30" s="72">
        <f>亮度與BLU功耗!E21</f>
        <v>22</v>
      </c>
      <c r="J30" s="73" t="str">
        <f>H30</f>
        <v>3*11</v>
      </c>
      <c r="K30" s="73" t="e">
        <f>IF(OR(J2="",J2="Please Check The LED Series",I2="",I2=0),"Please Check LED or Current",IF(亮度與BLU功耗!E17=0,0,INDEX(C35:N54,MATCH(I30,B35:B54,1),MATCH(J30,C34:N34,0))))</f>
        <v>#N/A</v>
      </c>
      <c r="L30" s="74"/>
      <c r="M30" s="74"/>
      <c r="N30" s="74"/>
      <c r="O30" s="74"/>
      <c r="P30" s="74"/>
      <c r="Q30" s="74"/>
      <c r="R30" s="124"/>
      <c r="S30" s="124"/>
      <c r="T30" s="74"/>
      <c r="U30" s="74"/>
      <c r="V30" s="74"/>
      <c r="W30" s="74"/>
      <c r="X30" s="74"/>
      <c r="Y30" s="74"/>
      <c r="Z30" s="74"/>
      <c r="AA30" s="74"/>
      <c r="AB30" s="74"/>
      <c r="AC30" s="74"/>
      <c r="AD30" s="74"/>
      <c r="AE30" s="74"/>
      <c r="AF30" s="74"/>
      <c r="AG30" s="74"/>
      <c r="AH30" s="74"/>
      <c r="AI30" s="74"/>
      <c r="AJ30" s="74"/>
      <c r="AK30" s="74"/>
      <c r="AL30" s="74"/>
      <c r="AM30" s="74"/>
      <c r="AN30" s="74"/>
      <c r="AO30" s="74"/>
      <c r="AP30" s="74"/>
      <c r="AQ30" s="74"/>
      <c r="AR30" s="74"/>
      <c r="AS30" s="74"/>
      <c r="AT30" s="74"/>
      <c r="AU30" s="74"/>
      <c r="AV30" s="74"/>
      <c r="AW30" s="74"/>
      <c r="AX30" s="74"/>
      <c r="AY30" s="74"/>
      <c r="AZ30" s="74"/>
      <c r="BA30" s="74"/>
      <c r="BB30" s="74"/>
      <c r="BC30" s="74"/>
      <c r="BD30" s="74"/>
      <c r="BE30" s="74"/>
    </row>
    <row r="31" ht="40.5" customHeight="1" spans="1:26">
      <c r="A31" s="83" t="s">
        <v>3118</v>
      </c>
      <c r="B31" s="83"/>
      <c r="C31" s="83"/>
      <c r="D31" s="83"/>
      <c r="E31" s="83"/>
      <c r="F31" s="83"/>
      <c r="G31" s="83"/>
      <c r="H31" s="83"/>
      <c r="I31" s="83"/>
      <c r="J31" s="83"/>
      <c r="K31" s="83"/>
      <c r="L31" s="83"/>
      <c r="M31" s="83"/>
      <c r="N31" s="83"/>
      <c r="O31" s="83"/>
      <c r="P31" s="83"/>
      <c r="Q31" s="83"/>
      <c r="R31" s="83"/>
      <c r="S31" s="83"/>
      <c r="T31" s="83"/>
      <c r="U31" s="83"/>
      <c r="V31" s="83"/>
      <c r="W31" s="83"/>
      <c r="X31" s="83"/>
      <c r="Y31" s="83"/>
      <c r="Z31" s="83"/>
    </row>
    <row r="32" ht="16.2" spans="2:14">
      <c r="B32" s="85" t="s">
        <v>3119</v>
      </c>
      <c r="C32" s="86">
        <v>3</v>
      </c>
      <c r="D32" s="87"/>
      <c r="E32" s="88"/>
      <c r="F32" s="89">
        <v>4</v>
      </c>
      <c r="G32" s="90"/>
      <c r="H32" s="91"/>
      <c r="I32" s="104">
        <v>5</v>
      </c>
      <c r="J32" s="105"/>
      <c r="K32" s="106"/>
      <c r="L32" s="107">
        <v>6</v>
      </c>
      <c r="M32" s="108"/>
      <c r="N32" s="109"/>
    </row>
    <row r="33" ht="16.2" spans="2:14">
      <c r="B33" s="92" t="s">
        <v>3120</v>
      </c>
      <c r="C33" s="93">
        <v>4</v>
      </c>
      <c r="D33" s="93">
        <v>5</v>
      </c>
      <c r="E33" s="93">
        <v>6</v>
      </c>
      <c r="F33" s="94">
        <v>4</v>
      </c>
      <c r="G33" s="94">
        <v>5</v>
      </c>
      <c r="H33" s="94">
        <v>6</v>
      </c>
      <c r="I33" s="110">
        <v>4</v>
      </c>
      <c r="J33" s="110">
        <v>5</v>
      </c>
      <c r="K33" s="110">
        <v>6</v>
      </c>
      <c r="L33" s="111">
        <v>4</v>
      </c>
      <c r="M33" s="111">
        <v>5</v>
      </c>
      <c r="N33" s="111">
        <v>6</v>
      </c>
    </row>
    <row r="34" ht="40.5" customHeight="1" spans="1:14">
      <c r="A34" s="95" t="s">
        <v>3121</v>
      </c>
      <c r="B34" s="96" t="s">
        <v>3122</v>
      </c>
      <c r="C34" s="97" t="s">
        <v>3147</v>
      </c>
      <c r="D34" s="97" t="s">
        <v>3148</v>
      </c>
      <c r="E34" s="97" t="s">
        <v>3149</v>
      </c>
      <c r="F34" s="97" t="s">
        <v>3150</v>
      </c>
      <c r="G34" s="97" t="s">
        <v>3151</v>
      </c>
      <c r="H34" s="97" t="s">
        <v>3152</v>
      </c>
      <c r="I34" s="97" t="s">
        <v>3153</v>
      </c>
      <c r="J34" s="97" t="s">
        <v>3154</v>
      </c>
      <c r="K34" s="97" t="s">
        <v>3155</v>
      </c>
      <c r="L34" s="97" t="s">
        <v>3156</v>
      </c>
      <c r="M34" s="97" t="s">
        <v>3157</v>
      </c>
      <c r="N34" s="97" t="s">
        <v>3158</v>
      </c>
    </row>
    <row r="35" s="62" customFormat="1" ht="15" spans="1:14">
      <c r="A35" s="98">
        <v>1</v>
      </c>
      <c r="B35" s="99">
        <v>6</v>
      </c>
      <c r="C35" s="100">
        <v>0.8529</v>
      </c>
      <c r="D35" s="101">
        <v>0.8406</v>
      </c>
      <c r="E35" s="101">
        <v>0.828</v>
      </c>
      <c r="F35" s="100">
        <v>0.8665</v>
      </c>
      <c r="G35" s="102">
        <v>0.8499</v>
      </c>
      <c r="H35" s="102">
        <v>0.8295</v>
      </c>
      <c r="I35" s="102">
        <v>0.8748</v>
      </c>
      <c r="J35" s="102">
        <v>0.8522</v>
      </c>
      <c r="K35" s="102">
        <v>0.8222</v>
      </c>
      <c r="L35" s="102">
        <v>0.876</v>
      </c>
      <c r="M35" s="102">
        <v>0.8473</v>
      </c>
      <c r="N35" s="102">
        <v>0.8119</v>
      </c>
    </row>
    <row r="36" s="62" customFormat="1" ht="15" spans="1:14">
      <c r="A36" s="98"/>
      <c r="B36" s="99">
        <v>7</v>
      </c>
      <c r="C36" s="100">
        <v>0.8627</v>
      </c>
      <c r="D36" s="101">
        <v>0.846</v>
      </c>
      <c r="E36" s="101">
        <v>0.8292</v>
      </c>
      <c r="F36" s="100">
        <v>0.8685</v>
      </c>
      <c r="G36" s="102">
        <v>0.8488</v>
      </c>
      <c r="H36" s="102">
        <v>0.8186</v>
      </c>
      <c r="I36" s="102">
        <v>0.8718</v>
      </c>
      <c r="J36" s="102">
        <v>0.8435</v>
      </c>
      <c r="K36" s="102">
        <v>0.8102</v>
      </c>
      <c r="L36" s="102">
        <v>0.8649</v>
      </c>
      <c r="M36" s="102">
        <v>0.8399</v>
      </c>
      <c r="N36" s="102">
        <v>0.8104</v>
      </c>
    </row>
    <row r="37" s="62" customFormat="1" ht="15" spans="1:14">
      <c r="A37" s="98"/>
      <c r="B37" s="99">
        <v>8</v>
      </c>
      <c r="C37" s="100">
        <v>0.866</v>
      </c>
      <c r="D37" s="101">
        <v>0.8473</v>
      </c>
      <c r="E37" s="101">
        <v>0.8234</v>
      </c>
      <c r="F37" s="100">
        <v>0.8646</v>
      </c>
      <c r="G37" s="102">
        <v>0.8381</v>
      </c>
      <c r="H37" s="102">
        <v>0.812</v>
      </c>
      <c r="I37" s="102">
        <v>0.8683</v>
      </c>
      <c r="J37" s="102">
        <v>0.8406</v>
      </c>
      <c r="K37" s="102">
        <v>0.8126</v>
      </c>
      <c r="L37" s="102">
        <v>0.8636</v>
      </c>
      <c r="M37" s="102">
        <v>0.8373</v>
      </c>
      <c r="N37" s="102">
        <v>0.8169</v>
      </c>
    </row>
    <row r="38" s="62" customFormat="1" ht="15" spans="1:14">
      <c r="A38" s="98"/>
      <c r="B38" s="99">
        <v>9</v>
      </c>
      <c r="C38" s="100">
        <v>0.863</v>
      </c>
      <c r="D38" s="101">
        <v>0.84</v>
      </c>
      <c r="E38" s="101">
        <v>0.812</v>
      </c>
      <c r="F38" s="100">
        <v>0.8619</v>
      </c>
      <c r="G38" s="102">
        <v>0.8375</v>
      </c>
      <c r="H38" s="102">
        <v>0.8121</v>
      </c>
      <c r="I38" s="102">
        <v>0.8688</v>
      </c>
      <c r="J38" s="102">
        <v>0.8412</v>
      </c>
      <c r="K38" s="102">
        <v>0.8194</v>
      </c>
      <c r="L38" s="102">
        <v>0.8634</v>
      </c>
      <c r="M38" s="102">
        <v>0.8468</v>
      </c>
      <c r="N38" s="102">
        <v>0.8442</v>
      </c>
    </row>
    <row r="39" s="62" customFormat="1" ht="15" spans="1:14">
      <c r="A39" s="98"/>
      <c r="B39" s="99">
        <v>10</v>
      </c>
      <c r="C39" s="100">
        <v>0.8683</v>
      </c>
      <c r="D39" s="101">
        <v>0.8393</v>
      </c>
      <c r="E39" s="101">
        <v>0.8129</v>
      </c>
      <c r="F39" s="100">
        <v>0.864</v>
      </c>
      <c r="G39" s="102">
        <v>0.8406</v>
      </c>
      <c r="H39" s="102">
        <v>0.821</v>
      </c>
      <c r="I39" s="102">
        <v>0.8701</v>
      </c>
      <c r="J39" s="102">
        <v>0.8486</v>
      </c>
      <c r="K39" s="102">
        <v>0.8369</v>
      </c>
      <c r="L39" s="102">
        <v>0.8698</v>
      </c>
      <c r="M39" s="102">
        <v>0.8618</v>
      </c>
      <c r="N39" s="102">
        <v>0.8453</v>
      </c>
    </row>
    <row r="40" s="62" customFormat="1" ht="15" spans="1:14">
      <c r="A40" s="98"/>
      <c r="B40" s="99">
        <v>11</v>
      </c>
      <c r="C40" s="100">
        <v>0.8655</v>
      </c>
      <c r="D40" s="101">
        <v>0.8376</v>
      </c>
      <c r="E40" s="101">
        <v>0.821</v>
      </c>
      <c r="F40" s="100">
        <v>0.8682</v>
      </c>
      <c r="G40" s="102">
        <v>0.8504</v>
      </c>
      <c r="H40" s="102">
        <v>0.8263</v>
      </c>
      <c r="I40" s="102">
        <v>0.8758</v>
      </c>
      <c r="J40" s="102">
        <v>0.8692</v>
      </c>
      <c r="K40" s="102">
        <v>0.8577</v>
      </c>
      <c r="L40" s="102">
        <v>0.8888</v>
      </c>
      <c r="M40" s="102">
        <v>0.866</v>
      </c>
      <c r="N40" s="102">
        <v>0.845</v>
      </c>
    </row>
    <row r="41" s="62" customFormat="1" ht="15" spans="1:14">
      <c r="A41" s="98"/>
      <c r="B41" s="99">
        <v>12</v>
      </c>
      <c r="C41" s="100">
        <v>0.8674</v>
      </c>
      <c r="D41" s="101">
        <v>0.8445</v>
      </c>
      <c r="E41" s="101">
        <v>0.8218</v>
      </c>
      <c r="F41" s="100">
        <v>0.8724</v>
      </c>
      <c r="G41" s="102">
        <v>0.8651</v>
      </c>
      <c r="H41" s="102">
        <v>0.8436</v>
      </c>
      <c r="I41" s="102">
        <v>0.8927</v>
      </c>
      <c r="J41" s="102">
        <v>0.8746</v>
      </c>
      <c r="K41" s="102">
        <v>0.8519</v>
      </c>
      <c r="L41" s="102">
        <v>0.8953</v>
      </c>
      <c r="M41" s="102">
        <v>0.8685</v>
      </c>
      <c r="N41" s="102">
        <v>0.8509</v>
      </c>
    </row>
    <row r="42" s="62" customFormat="1" ht="15" spans="1:14">
      <c r="A42" s="98"/>
      <c r="B42" s="99">
        <v>13</v>
      </c>
      <c r="C42" s="100">
        <v>0.8681</v>
      </c>
      <c r="D42" s="101">
        <v>0.852</v>
      </c>
      <c r="E42" s="101">
        <v>0.8522</v>
      </c>
      <c r="F42" s="100">
        <v>0.8522</v>
      </c>
      <c r="G42" s="102">
        <v>0.8667</v>
      </c>
      <c r="H42" s="102">
        <v>0.8643</v>
      </c>
      <c r="I42" s="102">
        <v>0.8494</v>
      </c>
      <c r="J42" s="102">
        <v>0.8194</v>
      </c>
      <c r="K42" s="102">
        <v>0.7781</v>
      </c>
      <c r="L42" s="102">
        <v>0.844</v>
      </c>
      <c r="M42" s="102">
        <v>0.8221</v>
      </c>
      <c r="N42" s="102">
        <v>0.8059</v>
      </c>
    </row>
    <row r="43" s="62" customFormat="1" ht="15" spans="1:14">
      <c r="A43" s="98"/>
      <c r="B43" s="99">
        <v>14</v>
      </c>
      <c r="C43" s="100">
        <v>0.8644</v>
      </c>
      <c r="D43" s="101">
        <v>0.8589</v>
      </c>
      <c r="E43" s="101">
        <v>0.8387</v>
      </c>
      <c r="F43" s="100">
        <v>0.8496</v>
      </c>
      <c r="G43" s="102">
        <v>0.8742</v>
      </c>
      <c r="H43" s="102">
        <v>0.8126</v>
      </c>
      <c r="I43" s="102">
        <v>0.8473</v>
      </c>
      <c r="J43" s="102">
        <v>0.8205</v>
      </c>
      <c r="K43" s="102">
        <v>0.8045</v>
      </c>
      <c r="L43" s="102">
        <v>0.8528</v>
      </c>
      <c r="M43" s="102">
        <v>0.8303</v>
      </c>
      <c r="N43" s="102">
        <v>0.8087</v>
      </c>
    </row>
    <row r="44" s="62" customFormat="1" ht="15" spans="1:14">
      <c r="A44" s="98"/>
      <c r="B44" s="99">
        <v>15</v>
      </c>
      <c r="C44" s="100">
        <v>0.8614</v>
      </c>
      <c r="D44" s="101">
        <v>0.8651</v>
      </c>
      <c r="E44" s="101">
        <v>0.8427</v>
      </c>
      <c r="F44" s="100">
        <v>0.8486</v>
      </c>
      <c r="G44" s="102">
        <v>0.8886</v>
      </c>
      <c r="H44" s="102">
        <v>0.8079</v>
      </c>
      <c r="I44" s="102">
        <v>0.8528</v>
      </c>
      <c r="J44" s="102">
        <v>0.8297</v>
      </c>
      <c r="K44" s="102">
        <v>0.8124</v>
      </c>
      <c r="L44" s="102">
        <v>0.8604</v>
      </c>
      <c r="M44" s="102">
        <v>0.8402</v>
      </c>
      <c r="N44" s="102">
        <v>0.8139</v>
      </c>
    </row>
    <row r="45" s="62" customFormat="1" ht="15" spans="1:14">
      <c r="A45" s="98"/>
      <c r="B45" s="99">
        <v>16</v>
      </c>
      <c r="C45" s="100">
        <v>0.8559</v>
      </c>
      <c r="D45" s="101">
        <v>0.8674</v>
      </c>
      <c r="E45" s="101">
        <v>0.8696</v>
      </c>
      <c r="F45" s="100">
        <v>0.8499</v>
      </c>
      <c r="G45" s="102">
        <v>0.8862</v>
      </c>
      <c r="H45" s="102">
        <v>0.8028</v>
      </c>
      <c r="I45" s="102">
        <v>0.8557</v>
      </c>
      <c r="J45" s="102">
        <v>0.8368</v>
      </c>
      <c r="K45" s="102">
        <v>0.821</v>
      </c>
      <c r="L45" s="102">
        <v>0.8681</v>
      </c>
      <c r="M45" s="102">
        <v>0.8497</v>
      </c>
      <c r="N45" s="102">
        <v>0.816</v>
      </c>
    </row>
    <row r="46" s="62" customFormat="1" ht="15" spans="1:14">
      <c r="A46" s="98"/>
      <c r="B46" s="99">
        <v>17</v>
      </c>
      <c r="C46" s="100">
        <v>0.8545</v>
      </c>
      <c r="D46" s="101">
        <v>0.8729</v>
      </c>
      <c r="E46" s="101">
        <v>0.8738</v>
      </c>
      <c r="F46" s="100">
        <v>0.8502</v>
      </c>
      <c r="G46" s="102">
        <v>0.8858</v>
      </c>
      <c r="H46" s="102">
        <v>0.8133</v>
      </c>
      <c r="I46" s="102">
        <v>0.868</v>
      </c>
      <c r="J46" s="102">
        <v>0.8454</v>
      </c>
      <c r="K46" s="102">
        <v>0.8193</v>
      </c>
      <c r="L46" s="102">
        <v>0.8821</v>
      </c>
      <c r="M46" s="102">
        <v>0.8503</v>
      </c>
      <c r="N46" s="102">
        <v>0.8232</v>
      </c>
    </row>
    <row r="47" s="62" customFormat="1" ht="15" spans="1:14">
      <c r="A47" s="98"/>
      <c r="B47" s="99">
        <v>18</v>
      </c>
      <c r="C47" s="100">
        <v>0.8524</v>
      </c>
      <c r="D47" s="101">
        <v>0.8829</v>
      </c>
      <c r="E47" s="101">
        <v>0.8427</v>
      </c>
      <c r="F47" s="100">
        <v>0.8574</v>
      </c>
      <c r="G47" s="102">
        <v>0.9</v>
      </c>
      <c r="H47" s="102">
        <v>0.8252</v>
      </c>
      <c r="I47" s="102">
        <v>0.8797</v>
      </c>
      <c r="J47" s="102">
        <v>0.8571</v>
      </c>
      <c r="K47" s="102">
        <v>0.8267</v>
      </c>
      <c r="L47" s="102">
        <v>0.8792</v>
      </c>
      <c r="M47" s="102">
        <v>0.8546</v>
      </c>
      <c r="N47" s="102">
        <v>0.8357</v>
      </c>
    </row>
    <row r="48" s="62" customFormat="1" ht="15" spans="1:14">
      <c r="A48" s="98"/>
      <c r="B48" s="99">
        <v>19</v>
      </c>
      <c r="C48" s="100">
        <v>0.8544</v>
      </c>
      <c r="D48" s="101">
        <v>0.8873</v>
      </c>
      <c r="E48" s="101">
        <v>0.8272</v>
      </c>
      <c r="F48" s="100">
        <v>0.8629</v>
      </c>
      <c r="G48" s="102">
        <v>0.8512</v>
      </c>
      <c r="H48" s="102">
        <v>0.8279</v>
      </c>
      <c r="I48" s="102">
        <v>0.8911</v>
      </c>
      <c r="J48" s="102">
        <v>0.8717</v>
      </c>
      <c r="K48" s="102">
        <v>0.8273</v>
      </c>
      <c r="L48" s="102">
        <v>0.8758</v>
      </c>
      <c r="M48" s="102">
        <v>0.8532</v>
      </c>
      <c r="N48" s="102">
        <v>0.8409</v>
      </c>
    </row>
    <row r="49" s="62" customFormat="1" ht="15" spans="1:14">
      <c r="A49" s="98"/>
      <c r="B49" s="99">
        <v>20</v>
      </c>
      <c r="C49" s="100">
        <v>0.8551</v>
      </c>
      <c r="D49" s="101">
        <v>0.8864</v>
      </c>
      <c r="E49" s="101">
        <v>0.8375</v>
      </c>
      <c r="F49" s="100">
        <v>0.8725</v>
      </c>
      <c r="G49" s="102">
        <v>0.8507</v>
      </c>
      <c r="H49" s="102">
        <v>0.8283</v>
      </c>
      <c r="I49" s="102">
        <v>0.8878</v>
      </c>
      <c r="J49" s="102">
        <v>0.8772</v>
      </c>
      <c r="K49" s="102">
        <v>0.8382</v>
      </c>
      <c r="L49" s="102">
        <v>0.8788</v>
      </c>
      <c r="M49" s="102">
        <v>0.8535</v>
      </c>
      <c r="N49" s="102">
        <v>0.8411</v>
      </c>
    </row>
    <row r="50" s="62" customFormat="1" ht="15" spans="1:14">
      <c r="A50" s="98"/>
      <c r="B50" s="99">
        <v>21</v>
      </c>
      <c r="C50" s="100">
        <v>0.8618</v>
      </c>
      <c r="D50" s="101">
        <v>0.8881</v>
      </c>
      <c r="E50" s="101">
        <v>0.8407</v>
      </c>
      <c r="F50" s="100">
        <v>0.8813</v>
      </c>
      <c r="G50" s="102">
        <v>0.8683</v>
      </c>
      <c r="H50" s="102">
        <v>0.817</v>
      </c>
      <c r="I50" s="102">
        <v>0.8872</v>
      </c>
      <c r="J50" s="102">
        <v>0.8728</v>
      </c>
      <c r="K50" s="102">
        <v>0.8276</v>
      </c>
      <c r="L50" s="102">
        <v>0.8801</v>
      </c>
      <c r="M50" s="102">
        <v>0.8548</v>
      </c>
      <c r="N50" s="102">
        <v>0.8427</v>
      </c>
    </row>
    <row r="51" s="62" customFormat="1" ht="15" spans="1:14">
      <c r="A51" s="98"/>
      <c r="B51" s="99">
        <v>22</v>
      </c>
      <c r="C51" s="100">
        <v>0.8688</v>
      </c>
      <c r="D51" s="101">
        <v>0.8152</v>
      </c>
      <c r="E51" s="101">
        <v>0.8373</v>
      </c>
      <c r="F51" s="100">
        <v>0.8912</v>
      </c>
      <c r="G51" s="102">
        <v>0.9469</v>
      </c>
      <c r="H51" s="102">
        <v>0.8199</v>
      </c>
      <c r="I51" s="102">
        <v>0.8901</v>
      </c>
      <c r="J51" s="102">
        <v>0.8626</v>
      </c>
      <c r="K51" s="102">
        <v>0.8282</v>
      </c>
      <c r="L51" s="102">
        <v>0.8848</v>
      </c>
      <c r="M51" s="102">
        <v>0.8565</v>
      </c>
      <c r="N51" s="102">
        <v>0.8333</v>
      </c>
    </row>
    <row r="52" s="62" customFormat="1" ht="15" spans="1:14">
      <c r="A52" s="98"/>
      <c r="B52" s="99">
        <v>23</v>
      </c>
      <c r="C52" s="100">
        <v>0.8751</v>
      </c>
      <c r="D52" s="101">
        <v>0.8343</v>
      </c>
      <c r="E52" s="101">
        <v>0.8407</v>
      </c>
      <c r="F52" s="100">
        <v>0.8915</v>
      </c>
      <c r="G52" s="102">
        <v>0.9255</v>
      </c>
      <c r="H52" s="102">
        <v>0.823</v>
      </c>
      <c r="I52" s="102">
        <v>0.8969</v>
      </c>
      <c r="J52" s="102">
        <v>0.8659</v>
      </c>
      <c r="K52" s="102">
        <v>0.8367</v>
      </c>
      <c r="L52" s="102">
        <v>0.8825</v>
      </c>
      <c r="M52" s="102">
        <v>0.8534</v>
      </c>
      <c r="N52" s="102">
        <v>0.8475</v>
      </c>
    </row>
    <row r="53" s="62" customFormat="1" ht="15" spans="1:14">
      <c r="A53" s="98"/>
      <c r="B53" s="99">
        <v>24</v>
      </c>
      <c r="C53" s="100">
        <v>0.8869</v>
      </c>
      <c r="D53" s="101">
        <v>0.8661</v>
      </c>
      <c r="E53" s="101">
        <v>0.8001</v>
      </c>
      <c r="F53" s="100">
        <v>0.8914</v>
      </c>
      <c r="G53" s="102">
        <v>0.9196</v>
      </c>
      <c r="H53" s="102">
        <v>0.8223</v>
      </c>
      <c r="I53" s="102">
        <v>0.8888</v>
      </c>
      <c r="J53" s="102">
        <v>0.8629</v>
      </c>
      <c r="K53" s="102">
        <v>0.8515</v>
      </c>
      <c r="L53" s="102">
        <v>0.887</v>
      </c>
      <c r="M53" s="102">
        <v>0.8602</v>
      </c>
      <c r="N53" s="102">
        <v>0.851</v>
      </c>
    </row>
    <row r="54" s="62" customFormat="1" ht="15" spans="1:14">
      <c r="A54" s="98"/>
      <c r="B54" s="99">
        <v>25</v>
      </c>
      <c r="C54" s="100">
        <v>0.8974</v>
      </c>
      <c r="D54" s="101">
        <v>0.8859</v>
      </c>
      <c r="E54" s="101">
        <v>0.7986</v>
      </c>
      <c r="F54" s="100">
        <v>0.8885</v>
      </c>
      <c r="G54" s="102">
        <v>0.8698</v>
      </c>
      <c r="H54" s="102">
        <v>0.8328</v>
      </c>
      <c r="I54" s="102">
        <v>0.8908</v>
      </c>
      <c r="J54" s="102">
        <v>0.8648</v>
      </c>
      <c r="K54" s="102">
        <v>0.8402</v>
      </c>
      <c r="L54" s="102">
        <v>0.8878</v>
      </c>
      <c r="M54" s="102">
        <v>0.8623</v>
      </c>
      <c r="N54" s="102">
        <v>0.8524</v>
      </c>
    </row>
    <row r="55" spans="3:19">
      <c r="C55" s="120"/>
      <c r="R55" s="120"/>
      <c r="S55" s="120"/>
    </row>
    <row r="56" spans="3:3">
      <c r="C56" s="120"/>
    </row>
    <row r="57" s="59" customFormat="1" ht="33" customHeight="1" spans="1:57">
      <c r="A57" s="64"/>
      <c r="B57" s="116">
        <v>3105</v>
      </c>
      <c r="C57" s="66" t="s">
        <v>3115</v>
      </c>
      <c r="D57" s="66" t="s">
        <v>3008</v>
      </c>
      <c r="E57" s="66" t="s">
        <v>3116</v>
      </c>
      <c r="F57" s="66" t="s">
        <v>3117</v>
      </c>
      <c r="G57" s="117"/>
      <c r="H57" s="66" t="s">
        <v>3115</v>
      </c>
      <c r="I57" s="66" t="s">
        <v>3008</v>
      </c>
      <c r="J57" s="66" t="s">
        <v>3116</v>
      </c>
      <c r="K57" s="66" t="s">
        <v>3117</v>
      </c>
      <c r="L57" s="67"/>
      <c r="M57" s="67"/>
      <c r="N57" s="67"/>
      <c r="O57" s="67"/>
      <c r="P57" s="67"/>
      <c r="Q57" s="67"/>
      <c r="R57" s="123"/>
      <c r="S57" s="123"/>
      <c r="T57" s="67"/>
      <c r="U57" s="67"/>
      <c r="V57" s="67"/>
      <c r="W57" s="67"/>
      <c r="X57" s="67"/>
      <c r="Y57" s="67"/>
      <c r="Z57" s="67"/>
      <c r="AA57" s="67"/>
      <c r="AB57" s="67"/>
      <c r="AC57" s="67"/>
      <c r="AD57" s="67"/>
      <c r="AE57" s="67"/>
      <c r="AF57" s="67"/>
      <c r="AG57" s="67"/>
      <c r="AH57" s="67"/>
      <c r="AI57" s="67"/>
      <c r="AJ57" s="67"/>
      <c r="AK57" s="67"/>
      <c r="AL57" s="67"/>
      <c r="AM57" s="67"/>
      <c r="AN57" s="67"/>
      <c r="AO57" s="67"/>
      <c r="AP57" s="67"/>
      <c r="AQ57" s="67"/>
      <c r="AR57" s="67"/>
      <c r="AS57" s="67"/>
      <c r="AT57" s="67"/>
      <c r="AU57" s="67"/>
      <c r="AV57" s="67"/>
      <c r="AW57" s="67"/>
      <c r="AX57" s="67"/>
      <c r="AY57" s="67"/>
      <c r="AZ57" s="67"/>
      <c r="BA57" s="67"/>
      <c r="BB57" s="67"/>
      <c r="BC57" s="67"/>
      <c r="BD57" s="67"/>
      <c r="BE57" s="67"/>
    </row>
    <row r="58" s="60" customFormat="1" ht="51" customHeight="1" spans="1:57">
      <c r="A58" s="69"/>
      <c r="B58" s="118"/>
      <c r="C58" s="71" t="str">
        <f>IF(OR(亮度與BLU功耗!E16="",亮度與BLU功耗!E18=""),"",亮度與BLU功耗!E16&amp;"*"&amp;亮度與BLU功耗!E18)</f>
        <v>5*11</v>
      </c>
      <c r="D58" s="72">
        <f>亮度與BLU功耗!E21</f>
        <v>22</v>
      </c>
      <c r="E58" s="73" t="str">
        <f>C58</f>
        <v>5*11</v>
      </c>
      <c r="F58" s="73" t="e">
        <f>IF(OR(E2="",E2="Please Check The LED Series",D2="",D2=0),"Please Check LED or Current",INDEX(C63:N82,MATCH(D58,B63:B82,1),MATCH(E58,C62:N62,0)))</f>
        <v>#N/A</v>
      </c>
      <c r="G58" s="119"/>
      <c r="H58" s="71" t="str">
        <f>IF(OR(亮度與BLU功耗!E16="",亮度與BLU功耗!E18=""),"",亮度與BLU功耗!E17&amp;"*"&amp;亮度與BLU功耗!E18)</f>
        <v>3*11</v>
      </c>
      <c r="I58" s="72">
        <f>亮度與BLU功耗!E21</f>
        <v>22</v>
      </c>
      <c r="J58" s="73" t="str">
        <f>H58</f>
        <v>3*11</v>
      </c>
      <c r="K58" s="73" t="e">
        <f>IF(OR(J2="",J2="Please Check The LED Series",I2="",I2=0),"Please Check LED or Current",IF(亮度與BLU功耗!E17=0,0,INDEX(C63:N82,MATCH(I58,B63:B82,1),MATCH(J58,C62:N62,0))))</f>
        <v>#N/A</v>
      </c>
      <c r="L58" s="74"/>
      <c r="M58" s="74"/>
      <c r="N58" s="74"/>
      <c r="O58" s="74"/>
      <c r="P58" s="74"/>
      <c r="Q58" s="74"/>
      <c r="R58" s="124"/>
      <c r="S58" s="124"/>
      <c r="T58" s="74"/>
      <c r="U58" s="74"/>
      <c r="V58" s="74"/>
      <c r="W58" s="74"/>
      <c r="X58" s="74"/>
      <c r="Y58" s="74"/>
      <c r="Z58" s="74"/>
      <c r="AA58" s="74"/>
      <c r="AB58" s="74"/>
      <c r="AC58" s="74"/>
      <c r="AD58" s="74"/>
      <c r="AE58" s="74"/>
      <c r="AF58" s="74"/>
      <c r="AG58" s="74"/>
      <c r="AH58" s="74"/>
      <c r="AI58" s="74"/>
      <c r="AJ58" s="74"/>
      <c r="AK58" s="74"/>
      <c r="AL58" s="74"/>
      <c r="AM58" s="74"/>
      <c r="AN58" s="74"/>
      <c r="AO58" s="74"/>
      <c r="AP58" s="74"/>
      <c r="AQ58" s="74"/>
      <c r="AR58" s="74"/>
      <c r="AS58" s="74"/>
      <c r="AT58" s="74"/>
      <c r="AU58" s="74"/>
      <c r="AV58" s="74"/>
      <c r="AW58" s="74"/>
      <c r="AX58" s="74"/>
      <c r="AY58" s="74"/>
      <c r="AZ58" s="74"/>
      <c r="BA58" s="74"/>
      <c r="BB58" s="74"/>
      <c r="BC58" s="74"/>
      <c r="BD58" s="74"/>
      <c r="BE58" s="74"/>
    </row>
    <row r="59" ht="40.5" customHeight="1" spans="1:26">
      <c r="A59" s="83" t="s">
        <v>3118</v>
      </c>
      <c r="B59" s="83"/>
      <c r="C59" s="83"/>
      <c r="D59" s="83"/>
      <c r="E59" s="83"/>
      <c r="F59" s="83"/>
      <c r="G59" s="83"/>
      <c r="H59" s="83"/>
      <c r="I59" s="83"/>
      <c r="J59" s="83"/>
      <c r="K59" s="83"/>
      <c r="L59" s="83"/>
      <c r="M59" s="83"/>
      <c r="N59" s="83"/>
      <c r="O59" s="83"/>
      <c r="P59" s="83"/>
      <c r="Q59" s="83"/>
      <c r="R59" s="83"/>
      <c r="S59" s="83"/>
      <c r="T59" s="83"/>
      <c r="U59" s="83"/>
      <c r="V59" s="83"/>
      <c r="W59" s="83"/>
      <c r="X59" s="83"/>
      <c r="Y59" s="83"/>
      <c r="Z59" s="83"/>
    </row>
    <row r="60" ht="16.2" spans="2:14">
      <c r="B60" s="85" t="s">
        <v>3119</v>
      </c>
      <c r="C60" s="86">
        <v>3</v>
      </c>
      <c r="D60" s="87"/>
      <c r="E60" s="88"/>
      <c r="F60" s="89">
        <v>4</v>
      </c>
      <c r="G60" s="90"/>
      <c r="H60" s="91"/>
      <c r="I60" s="104">
        <v>5</v>
      </c>
      <c r="J60" s="105"/>
      <c r="K60" s="106"/>
      <c r="L60" s="107">
        <v>6</v>
      </c>
      <c r="M60" s="108"/>
      <c r="N60" s="109"/>
    </row>
    <row r="61" ht="16.2" spans="2:14">
      <c r="B61" s="92" t="s">
        <v>3120</v>
      </c>
      <c r="C61" s="93">
        <v>4</v>
      </c>
      <c r="D61" s="93">
        <v>5</v>
      </c>
      <c r="E61" s="93">
        <v>6</v>
      </c>
      <c r="F61" s="94">
        <v>4</v>
      </c>
      <c r="G61" s="94">
        <v>5</v>
      </c>
      <c r="H61" s="94">
        <v>6</v>
      </c>
      <c r="I61" s="110">
        <v>4</v>
      </c>
      <c r="J61" s="110">
        <v>5</v>
      </c>
      <c r="K61" s="110">
        <v>6</v>
      </c>
      <c r="L61" s="111">
        <v>4</v>
      </c>
      <c r="M61" s="111">
        <v>5</v>
      </c>
      <c r="N61" s="111">
        <v>6</v>
      </c>
    </row>
    <row r="62" ht="40.5" customHeight="1" spans="1:14">
      <c r="A62" s="95" t="s">
        <v>3121</v>
      </c>
      <c r="B62" s="96" t="s">
        <v>3122</v>
      </c>
      <c r="C62" s="97" t="s">
        <v>3147</v>
      </c>
      <c r="D62" s="97" t="s">
        <v>3148</v>
      </c>
      <c r="E62" s="97" t="s">
        <v>3149</v>
      </c>
      <c r="F62" s="97" t="s">
        <v>3150</v>
      </c>
      <c r="G62" s="97" t="s">
        <v>3151</v>
      </c>
      <c r="H62" s="97" t="s">
        <v>3152</v>
      </c>
      <c r="I62" s="97" t="s">
        <v>3153</v>
      </c>
      <c r="J62" s="97" t="s">
        <v>3154</v>
      </c>
      <c r="K62" s="97" t="s">
        <v>3155</v>
      </c>
      <c r="L62" s="97" t="s">
        <v>3156</v>
      </c>
      <c r="M62" s="97" t="s">
        <v>3157</v>
      </c>
      <c r="N62" s="97" t="s">
        <v>3158</v>
      </c>
    </row>
    <row r="63" s="62" customFormat="1" ht="15" spans="1:14">
      <c r="A63" s="98">
        <v>1</v>
      </c>
      <c r="B63" s="99">
        <v>6</v>
      </c>
      <c r="C63" s="100">
        <v>0.8345</v>
      </c>
      <c r="D63" s="101">
        <v>0.8338</v>
      </c>
      <c r="E63" s="101">
        <v>0.8422</v>
      </c>
      <c r="F63" s="100">
        <v>0.8826</v>
      </c>
      <c r="G63" s="102">
        <v>0.8801</v>
      </c>
      <c r="H63" s="102">
        <v>0.8738</v>
      </c>
      <c r="I63" s="102">
        <v>0.881</v>
      </c>
      <c r="J63" s="102">
        <v>0.8765</v>
      </c>
      <c r="K63" s="102">
        <v>0.8698</v>
      </c>
      <c r="L63" s="102">
        <v>0.8859</v>
      </c>
      <c r="M63" s="102">
        <v>0.8766</v>
      </c>
      <c r="N63" s="102">
        <v>0.8736</v>
      </c>
    </row>
    <row r="64" s="62" customFormat="1" ht="15" spans="1:14">
      <c r="A64" s="98"/>
      <c r="B64" s="99">
        <v>7</v>
      </c>
      <c r="C64" s="100">
        <v>0.8653</v>
      </c>
      <c r="D64" s="101">
        <v>0.8585</v>
      </c>
      <c r="E64" s="101">
        <v>0.8658</v>
      </c>
      <c r="F64" s="100">
        <v>0.8819</v>
      </c>
      <c r="G64" s="102">
        <v>0.8723</v>
      </c>
      <c r="H64" s="102">
        <v>0.8683</v>
      </c>
      <c r="I64" s="102">
        <v>0.88</v>
      </c>
      <c r="J64" s="102">
        <v>0.8766</v>
      </c>
      <c r="K64" s="102">
        <v>0.8731</v>
      </c>
      <c r="L64" s="102">
        <v>0.8912</v>
      </c>
      <c r="M64" s="102">
        <v>0.8828</v>
      </c>
      <c r="N64" s="102">
        <v>0.8848</v>
      </c>
    </row>
    <row r="65" s="62" customFormat="1" ht="15" spans="1:14">
      <c r="A65" s="98"/>
      <c r="B65" s="99">
        <v>8</v>
      </c>
      <c r="C65" s="100">
        <v>0.8835</v>
      </c>
      <c r="D65" s="101">
        <v>0.8787</v>
      </c>
      <c r="E65" s="101">
        <v>0.8719</v>
      </c>
      <c r="F65" s="100">
        <v>0.878</v>
      </c>
      <c r="G65" s="102">
        <v>0.8688</v>
      </c>
      <c r="H65" s="102">
        <v>0.8659</v>
      </c>
      <c r="I65" s="102">
        <v>0.8853</v>
      </c>
      <c r="J65" s="102">
        <v>0.88</v>
      </c>
      <c r="K65" s="102">
        <v>0.8814</v>
      </c>
      <c r="L65" s="102">
        <v>0.9056</v>
      </c>
      <c r="M65" s="102">
        <v>0.8997</v>
      </c>
      <c r="N65" s="102">
        <v>0.8982</v>
      </c>
    </row>
    <row r="66" s="62" customFormat="1" ht="15" spans="1:14">
      <c r="A66" s="98"/>
      <c r="B66" s="99">
        <v>9</v>
      </c>
      <c r="C66" s="100">
        <v>0.8852</v>
      </c>
      <c r="D66" s="101">
        <v>0.8754</v>
      </c>
      <c r="E66" s="101">
        <v>0.8669</v>
      </c>
      <c r="F66" s="100">
        <v>0.8804</v>
      </c>
      <c r="G66" s="102">
        <v>0.871</v>
      </c>
      <c r="H66" s="102">
        <v>0.8713</v>
      </c>
      <c r="I66" s="102">
        <v>0.8949</v>
      </c>
      <c r="J66" s="102">
        <v>0.8902</v>
      </c>
      <c r="K66" s="102">
        <v>0.8922</v>
      </c>
      <c r="L66" s="102">
        <v>0.9153</v>
      </c>
      <c r="M66" s="102">
        <v>0.9075</v>
      </c>
      <c r="N66" s="102">
        <v>0.8935</v>
      </c>
    </row>
    <row r="67" s="62" customFormat="1" ht="15" spans="1:14">
      <c r="A67" s="98"/>
      <c r="B67" s="99">
        <v>10</v>
      </c>
      <c r="C67" s="100">
        <v>0.878</v>
      </c>
      <c r="D67" s="101">
        <v>0.8677</v>
      </c>
      <c r="E67" s="101">
        <v>0.863</v>
      </c>
      <c r="F67" s="100">
        <v>0.8828</v>
      </c>
      <c r="G67" s="102">
        <v>0.875</v>
      </c>
      <c r="H67" s="102">
        <v>0.8779</v>
      </c>
      <c r="I67" s="102">
        <v>0.9054</v>
      </c>
      <c r="J67" s="102">
        <v>0.901</v>
      </c>
      <c r="K67" s="102">
        <v>0.9001</v>
      </c>
      <c r="L67" s="102">
        <v>0.914</v>
      </c>
      <c r="M67" s="102">
        <v>0.9013</v>
      </c>
      <c r="N67" s="102">
        <v>0.8896</v>
      </c>
    </row>
    <row r="68" s="62" customFormat="1" ht="15" spans="1:14">
      <c r="A68" s="98"/>
      <c r="B68" s="99">
        <v>11</v>
      </c>
      <c r="C68" s="100">
        <v>0.8794</v>
      </c>
      <c r="D68" s="101">
        <v>0.8665</v>
      </c>
      <c r="E68" s="101">
        <v>0.8657</v>
      </c>
      <c r="F68" s="100">
        <v>0.8922</v>
      </c>
      <c r="G68" s="102">
        <v>0.8849</v>
      </c>
      <c r="H68" s="102">
        <v>0.8852</v>
      </c>
      <c r="I68" s="102">
        <v>0.9137</v>
      </c>
      <c r="J68" s="102">
        <v>0.9082</v>
      </c>
      <c r="K68" s="102">
        <v>0.893</v>
      </c>
      <c r="L68" s="102">
        <v>0.9066</v>
      </c>
      <c r="M68" s="102">
        <v>0.8942</v>
      </c>
      <c r="N68" s="102">
        <v>0.89</v>
      </c>
    </row>
    <row r="69" s="62" customFormat="1" ht="15" spans="1:14">
      <c r="A69" s="98"/>
      <c r="B69" s="99">
        <v>12</v>
      </c>
      <c r="C69" s="100">
        <v>0.8786</v>
      </c>
      <c r="D69" s="101">
        <v>0.8703</v>
      </c>
      <c r="E69" s="101">
        <v>0.8684</v>
      </c>
      <c r="F69" s="100">
        <v>0.8993</v>
      </c>
      <c r="G69" s="102">
        <v>0.892</v>
      </c>
      <c r="H69" s="102">
        <v>0.8955</v>
      </c>
      <c r="I69" s="102">
        <v>0.9071</v>
      </c>
      <c r="J69" s="102">
        <v>0.8988</v>
      </c>
      <c r="K69" s="102">
        <v>0.8889</v>
      </c>
      <c r="L69" s="102">
        <v>0.9084</v>
      </c>
      <c r="M69" s="102">
        <v>0.897</v>
      </c>
      <c r="N69" s="102">
        <v>0.89</v>
      </c>
    </row>
    <row r="70" s="62" customFormat="1" ht="15" spans="1:14">
      <c r="A70" s="98"/>
      <c r="B70" s="99">
        <v>13</v>
      </c>
      <c r="C70" s="100">
        <v>0.8854</v>
      </c>
      <c r="D70" s="101">
        <v>0.8774</v>
      </c>
      <c r="E70" s="101">
        <v>0.8786</v>
      </c>
      <c r="F70" s="100">
        <v>0.9108</v>
      </c>
      <c r="G70" s="102">
        <v>0.9072</v>
      </c>
      <c r="H70" s="102">
        <v>0.8963</v>
      </c>
      <c r="I70" s="102">
        <v>0.9114</v>
      </c>
      <c r="J70" s="102">
        <v>0.9031</v>
      </c>
      <c r="K70" s="102">
        <v>0.8907</v>
      </c>
      <c r="L70" s="102">
        <v>0.9137</v>
      </c>
      <c r="M70" s="102">
        <v>0.9028</v>
      </c>
      <c r="N70" s="102">
        <v>0.9019</v>
      </c>
    </row>
    <row r="71" s="62" customFormat="1" ht="15" spans="1:14">
      <c r="A71" s="98"/>
      <c r="B71" s="99">
        <v>14</v>
      </c>
      <c r="C71" s="100">
        <v>0.8913</v>
      </c>
      <c r="D71" s="101">
        <v>0.8822</v>
      </c>
      <c r="E71" s="101">
        <v>0.8872</v>
      </c>
      <c r="F71" s="100">
        <v>0.9177</v>
      </c>
      <c r="G71" s="102">
        <v>0.9031</v>
      </c>
      <c r="H71" s="102">
        <v>0.8935</v>
      </c>
      <c r="I71" s="102">
        <v>0.9082</v>
      </c>
      <c r="J71" s="102">
        <v>0.9024</v>
      </c>
      <c r="K71" s="102">
        <v>0.8953</v>
      </c>
      <c r="L71" s="102">
        <v>0.9206</v>
      </c>
      <c r="M71" s="102">
        <v>0.9099</v>
      </c>
      <c r="N71" s="102">
        <v>0.9061</v>
      </c>
    </row>
    <row r="72" s="62" customFormat="1" ht="15" spans="1:14">
      <c r="A72" s="98"/>
      <c r="B72" s="99">
        <v>15</v>
      </c>
      <c r="C72" s="100">
        <v>0.8985</v>
      </c>
      <c r="D72" s="101">
        <v>0.8905</v>
      </c>
      <c r="E72" s="101">
        <v>0.8926</v>
      </c>
      <c r="F72" s="100">
        <v>0.9113</v>
      </c>
      <c r="G72" s="102">
        <v>0.9015</v>
      </c>
      <c r="H72" s="102">
        <v>0.8909</v>
      </c>
      <c r="I72" s="102">
        <v>0.9104</v>
      </c>
      <c r="J72" s="102">
        <v>0.9015</v>
      </c>
      <c r="K72" s="102">
        <v>0.8987</v>
      </c>
      <c r="L72" s="102">
        <v>0.9237</v>
      </c>
      <c r="M72" s="102">
        <v>0.9137</v>
      </c>
      <c r="N72" s="102">
        <v>0.9037</v>
      </c>
    </row>
    <row r="73" s="62" customFormat="1" ht="15" spans="1:14">
      <c r="A73" s="98"/>
      <c r="B73" s="99">
        <v>16</v>
      </c>
      <c r="C73" s="100">
        <v>0.9034</v>
      </c>
      <c r="D73" s="101">
        <v>0.8972</v>
      </c>
      <c r="E73" s="101">
        <v>0.9008</v>
      </c>
      <c r="F73" s="100">
        <v>0.9106</v>
      </c>
      <c r="G73" s="102">
        <v>0.896</v>
      </c>
      <c r="H73" s="102">
        <v>0.8902</v>
      </c>
      <c r="I73" s="102">
        <v>0.9106</v>
      </c>
      <c r="J73" s="102">
        <v>0.907</v>
      </c>
      <c r="K73" s="102">
        <v>0.9026</v>
      </c>
      <c r="L73" s="102">
        <v>0.9302</v>
      </c>
      <c r="M73" s="102">
        <v>0.9176</v>
      </c>
      <c r="N73" s="102">
        <v>0.9001</v>
      </c>
    </row>
    <row r="74" s="62" customFormat="1" ht="15" spans="1:14">
      <c r="A74" s="98"/>
      <c r="B74" s="99">
        <v>17</v>
      </c>
      <c r="C74" s="100">
        <v>0.9091</v>
      </c>
      <c r="D74" s="101">
        <v>0.9029</v>
      </c>
      <c r="E74" s="101">
        <v>0.8962</v>
      </c>
      <c r="F74" s="100">
        <v>0.9068</v>
      </c>
      <c r="G74" s="102">
        <v>0.8968</v>
      </c>
      <c r="H74" s="102">
        <v>0.8897</v>
      </c>
      <c r="I74" s="102">
        <v>0.9171</v>
      </c>
      <c r="J74" s="102">
        <v>0.9084</v>
      </c>
      <c r="K74" s="102">
        <v>0.9072</v>
      </c>
      <c r="L74" s="102">
        <v>0.9242</v>
      </c>
      <c r="M74" s="102">
        <v>0.9112</v>
      </c>
      <c r="N74" s="102">
        <v>0.8975</v>
      </c>
    </row>
    <row r="75" s="62" customFormat="1" ht="15" spans="1:14">
      <c r="A75" s="98"/>
      <c r="B75" s="99">
        <v>18</v>
      </c>
      <c r="C75" s="100">
        <v>0.9156</v>
      </c>
      <c r="D75" s="101">
        <v>0.9071</v>
      </c>
      <c r="E75" s="101">
        <v>0.8939</v>
      </c>
      <c r="F75" s="100">
        <v>0.9077</v>
      </c>
      <c r="G75" s="102">
        <v>0.8955</v>
      </c>
      <c r="H75" s="102">
        <v>0.8944</v>
      </c>
      <c r="I75" s="102">
        <v>0.9197</v>
      </c>
      <c r="J75" s="102">
        <v>0.9164</v>
      </c>
      <c r="K75" s="102">
        <v>0.9045</v>
      </c>
      <c r="L75" s="102">
        <v>0.9252</v>
      </c>
      <c r="M75" s="102">
        <v>0.9126</v>
      </c>
      <c r="N75" s="102">
        <v>0.9</v>
      </c>
    </row>
    <row r="76" s="62" customFormat="1" ht="15" spans="1:14">
      <c r="A76" s="98"/>
      <c r="B76" s="99">
        <v>19</v>
      </c>
      <c r="C76" s="100">
        <v>0.9138</v>
      </c>
      <c r="D76" s="101">
        <v>0.9016</v>
      </c>
      <c r="E76" s="101">
        <v>0.8891</v>
      </c>
      <c r="F76" s="100">
        <v>0.9078</v>
      </c>
      <c r="G76" s="102">
        <v>0.8985</v>
      </c>
      <c r="H76" s="102">
        <v>0.8954</v>
      </c>
      <c r="I76" s="102">
        <v>0.9246</v>
      </c>
      <c r="J76" s="102">
        <v>0.9148</v>
      </c>
      <c r="K76" s="102">
        <v>0.9004</v>
      </c>
      <c r="L76" s="102">
        <v>0.9211</v>
      </c>
      <c r="M76" s="102">
        <v>0.9099</v>
      </c>
      <c r="N76" s="102">
        <v>0.9033</v>
      </c>
    </row>
    <row r="77" s="62" customFormat="1" ht="15" spans="1:14">
      <c r="A77" s="98"/>
      <c r="B77" s="99">
        <v>20</v>
      </c>
      <c r="C77" s="100">
        <v>0.9147</v>
      </c>
      <c r="D77" s="101">
        <v>0.8989</v>
      </c>
      <c r="E77" s="101">
        <v>0.8908</v>
      </c>
      <c r="F77" s="100">
        <v>0.9116</v>
      </c>
      <c r="G77" s="102">
        <v>0.9018</v>
      </c>
      <c r="H77" s="102">
        <v>0.901</v>
      </c>
      <c r="I77" s="102">
        <v>0.9245</v>
      </c>
      <c r="J77" s="102">
        <v>0.9151</v>
      </c>
      <c r="K77" s="102">
        <v>0.901</v>
      </c>
      <c r="L77" s="102">
        <v>0.9226</v>
      </c>
      <c r="M77" s="102">
        <v>0.9118</v>
      </c>
      <c r="N77" s="102">
        <v>0.902</v>
      </c>
    </row>
    <row r="78" s="62" customFormat="1" ht="15" spans="1:14">
      <c r="A78" s="98"/>
      <c r="B78" s="99">
        <v>21</v>
      </c>
      <c r="C78" s="100">
        <v>0.9109</v>
      </c>
      <c r="D78" s="101">
        <v>0.8974</v>
      </c>
      <c r="E78" s="101">
        <v>0.8884</v>
      </c>
      <c r="F78" s="100">
        <v>0.9132</v>
      </c>
      <c r="G78" s="102">
        <v>0.9036</v>
      </c>
      <c r="H78" s="102">
        <v>0.9033</v>
      </c>
      <c r="I78" s="102">
        <v>0.9189</v>
      </c>
      <c r="J78" s="102">
        <v>0.91</v>
      </c>
      <c r="K78" s="102">
        <v>0.8982</v>
      </c>
      <c r="L78" s="102">
        <v>0.9211</v>
      </c>
      <c r="M78" s="102">
        <v>0.9135</v>
      </c>
      <c r="N78" s="102">
        <v>0.9048</v>
      </c>
    </row>
    <row r="79" s="62" customFormat="1" ht="15" spans="1:14">
      <c r="A79" s="98"/>
      <c r="B79" s="99">
        <v>22</v>
      </c>
      <c r="C79" s="100">
        <v>0.9073</v>
      </c>
      <c r="D79" s="101">
        <v>0.8952</v>
      </c>
      <c r="E79" s="101">
        <v>0.889</v>
      </c>
      <c r="F79" s="100">
        <v>0.9166</v>
      </c>
      <c r="G79" s="102">
        <v>0.9103</v>
      </c>
      <c r="H79" s="102">
        <v>0.9002</v>
      </c>
      <c r="I79" s="102">
        <v>0.9184</v>
      </c>
      <c r="J79" s="102">
        <v>0.9103</v>
      </c>
      <c r="K79" s="102">
        <v>0.9015</v>
      </c>
      <c r="L79" s="102">
        <v>0.9259</v>
      </c>
      <c r="M79" s="102">
        <v>0.9119</v>
      </c>
      <c r="N79" s="102">
        <v>0.907</v>
      </c>
    </row>
    <row r="80" s="62" customFormat="1" ht="15" spans="1:14">
      <c r="A80" s="98"/>
      <c r="B80" s="99">
        <v>23</v>
      </c>
      <c r="C80" s="100">
        <v>0.9093</v>
      </c>
      <c r="D80" s="101">
        <v>0.8957</v>
      </c>
      <c r="E80" s="101">
        <v>0.8917</v>
      </c>
      <c r="F80" s="100">
        <v>0.9196</v>
      </c>
      <c r="G80" s="102">
        <v>0.9131</v>
      </c>
      <c r="H80" s="102">
        <v>0.8979</v>
      </c>
      <c r="I80" s="102">
        <v>0.9179</v>
      </c>
      <c r="J80" s="102">
        <v>0.908</v>
      </c>
      <c r="K80" s="102">
        <v>0.9001</v>
      </c>
      <c r="L80" s="102">
        <v>0.9238</v>
      </c>
      <c r="M80" s="102">
        <v>0.9162</v>
      </c>
      <c r="N80" s="102">
        <v>0.9047</v>
      </c>
    </row>
    <row r="81" s="62" customFormat="1" ht="15" spans="1:14">
      <c r="A81" s="98"/>
      <c r="B81" s="99">
        <v>24</v>
      </c>
      <c r="C81" s="100">
        <v>0.9079</v>
      </c>
      <c r="D81" s="101">
        <v>0.8951</v>
      </c>
      <c r="E81" s="101">
        <v>0.8924</v>
      </c>
      <c r="F81" s="100">
        <v>0.9244</v>
      </c>
      <c r="G81" s="102">
        <v>0.9086</v>
      </c>
      <c r="H81" s="102">
        <v>0.8934</v>
      </c>
      <c r="I81" s="102">
        <v>0.9165</v>
      </c>
      <c r="J81" s="102">
        <v>0.9117</v>
      </c>
      <c r="K81" s="102">
        <v>0.9037</v>
      </c>
      <c r="L81" s="102">
        <v>0.9262</v>
      </c>
      <c r="M81" s="102">
        <v>0.9144</v>
      </c>
      <c r="N81" s="102">
        <v>0.9074</v>
      </c>
    </row>
    <row r="82" s="62" customFormat="1" ht="15" spans="1:14">
      <c r="A82" s="98"/>
      <c r="B82" s="99">
        <v>25</v>
      </c>
      <c r="C82" s="100">
        <v>0.9075</v>
      </c>
      <c r="D82" s="101">
        <v>0.8977</v>
      </c>
      <c r="E82" s="101">
        <v>0.8936</v>
      </c>
      <c r="F82" s="100">
        <v>0.921</v>
      </c>
      <c r="G82" s="102">
        <v>0.9076</v>
      </c>
      <c r="H82" s="102">
        <v>0.8955</v>
      </c>
      <c r="I82" s="102">
        <v>0.9185</v>
      </c>
      <c r="J82" s="102">
        <v>0.9102</v>
      </c>
      <c r="K82" s="102">
        <v>0.9047</v>
      </c>
      <c r="L82" s="102">
        <v>0.9273</v>
      </c>
      <c r="M82" s="102">
        <v>0.9165</v>
      </c>
      <c r="N82" s="102">
        <v>0.9069</v>
      </c>
    </row>
    <row r="84" spans="8:10">
      <c r="H84" s="63">
        <v>4</v>
      </c>
      <c r="I84" s="63">
        <v>5</v>
      </c>
      <c r="J84" s="63">
        <v>6</v>
      </c>
    </row>
    <row r="85" spans="7:10">
      <c r="G85" s="63">
        <v>3</v>
      </c>
      <c r="H85" s="63">
        <f>H$84*G85</f>
        <v>12</v>
      </c>
      <c r="I85" s="63">
        <f>I$84*G85</f>
        <v>15</v>
      </c>
      <c r="J85" s="63">
        <f>J$84*G85</f>
        <v>18</v>
      </c>
    </row>
    <row r="86" spans="7:10">
      <c r="G86" s="63">
        <v>4</v>
      </c>
      <c r="H86" s="63">
        <f t="shared" ref="H86:H94" si="0">H$84*G86</f>
        <v>16</v>
      </c>
      <c r="I86" s="63">
        <f t="shared" ref="I86:I94" si="1">I$84*G86</f>
        <v>20</v>
      </c>
      <c r="J86" s="63">
        <f t="shared" ref="J86:J94" si="2">J$84*G86</f>
        <v>24</v>
      </c>
    </row>
    <row r="87" spans="7:10">
      <c r="G87" s="63">
        <v>5</v>
      </c>
      <c r="H87" s="63">
        <f t="shared" si="0"/>
        <v>20</v>
      </c>
      <c r="I87" s="63">
        <f t="shared" si="1"/>
        <v>25</v>
      </c>
      <c r="J87" s="63">
        <f t="shared" si="2"/>
        <v>30</v>
      </c>
    </row>
    <row r="88" spans="7:10">
      <c r="G88" s="63">
        <v>6</v>
      </c>
      <c r="H88" s="63">
        <f t="shared" si="0"/>
        <v>24</v>
      </c>
      <c r="I88" s="63">
        <f t="shared" si="1"/>
        <v>30</v>
      </c>
      <c r="J88" s="63">
        <f t="shared" si="2"/>
        <v>36</v>
      </c>
    </row>
    <row r="89" spans="7:10">
      <c r="G89" s="63">
        <v>7</v>
      </c>
      <c r="H89" s="63">
        <f t="shared" si="0"/>
        <v>28</v>
      </c>
      <c r="I89" s="63">
        <f t="shared" si="1"/>
        <v>35</v>
      </c>
      <c r="J89" s="63">
        <f t="shared" si="2"/>
        <v>42</v>
      </c>
    </row>
    <row r="90" spans="7:10">
      <c r="G90" s="63">
        <v>8</v>
      </c>
      <c r="H90" s="63">
        <f t="shared" si="0"/>
        <v>32</v>
      </c>
      <c r="I90" s="63">
        <f t="shared" si="1"/>
        <v>40</v>
      </c>
      <c r="J90" s="63">
        <f t="shared" si="2"/>
        <v>48</v>
      </c>
    </row>
    <row r="91" spans="7:10">
      <c r="G91" s="63">
        <v>9</v>
      </c>
      <c r="H91" s="63">
        <f t="shared" si="0"/>
        <v>36</v>
      </c>
      <c r="I91" s="63">
        <f t="shared" si="1"/>
        <v>45</v>
      </c>
      <c r="J91" s="63">
        <f t="shared" si="2"/>
        <v>54</v>
      </c>
    </row>
    <row r="92" spans="7:10">
      <c r="G92" s="63">
        <v>10</v>
      </c>
      <c r="H92" s="63">
        <f t="shared" si="0"/>
        <v>40</v>
      </c>
      <c r="I92" s="63">
        <f t="shared" si="1"/>
        <v>50</v>
      </c>
      <c r="J92" s="63">
        <f t="shared" si="2"/>
        <v>60</v>
      </c>
    </row>
    <row r="93" spans="7:10">
      <c r="G93" s="63">
        <v>11</v>
      </c>
      <c r="H93" s="63">
        <f t="shared" si="0"/>
        <v>44</v>
      </c>
      <c r="I93" s="63">
        <f t="shared" si="1"/>
        <v>55</v>
      </c>
      <c r="J93" s="63">
        <f t="shared" si="2"/>
        <v>66</v>
      </c>
    </row>
    <row r="94" spans="7:10">
      <c r="G94" s="63">
        <v>12</v>
      </c>
      <c r="H94" s="63">
        <f t="shared" si="0"/>
        <v>48</v>
      </c>
      <c r="I94" s="63">
        <f t="shared" si="1"/>
        <v>60</v>
      </c>
      <c r="J94" s="63">
        <f t="shared" si="2"/>
        <v>72</v>
      </c>
    </row>
    <row r="97" spans="5:8">
      <c r="E97" s="63">
        <v>24</v>
      </c>
      <c r="F97" s="63" t="s">
        <v>3123</v>
      </c>
      <c r="G97" s="63">
        <v>12</v>
      </c>
      <c r="H97" s="63" t="s">
        <v>3147</v>
      </c>
    </row>
    <row r="98" spans="5:8">
      <c r="E98" s="63">
        <v>27</v>
      </c>
      <c r="F98" s="63" t="s">
        <v>3124</v>
      </c>
      <c r="G98" s="63">
        <v>15</v>
      </c>
      <c r="H98" s="63" t="s">
        <v>3148</v>
      </c>
    </row>
    <row r="99" spans="5:8">
      <c r="E99" s="63">
        <v>30</v>
      </c>
      <c r="F99" s="63" t="s">
        <v>3125</v>
      </c>
      <c r="G99" s="63">
        <v>16</v>
      </c>
      <c r="H99" s="63" t="s">
        <v>3150</v>
      </c>
    </row>
    <row r="100" spans="5:8">
      <c r="E100" s="63">
        <v>32</v>
      </c>
      <c r="F100" s="63" t="s">
        <v>3129</v>
      </c>
      <c r="G100" s="63">
        <v>18</v>
      </c>
      <c r="H100" s="63" t="s">
        <v>3149</v>
      </c>
    </row>
    <row r="101" spans="5:8">
      <c r="E101" s="63">
        <v>33</v>
      </c>
      <c r="F101" s="63" t="s">
        <v>3126</v>
      </c>
      <c r="G101" s="63">
        <v>20</v>
      </c>
      <c r="H101" s="63" t="s">
        <v>3159</v>
      </c>
    </row>
    <row r="102" spans="5:8">
      <c r="E102" s="63">
        <v>36</v>
      </c>
      <c r="F102" s="63" t="s">
        <v>3160</v>
      </c>
      <c r="G102" s="63">
        <v>24</v>
      </c>
      <c r="H102" s="63" t="s">
        <v>3161</v>
      </c>
    </row>
    <row r="103" spans="5:8">
      <c r="E103" s="63">
        <v>40</v>
      </c>
      <c r="F103" s="63" t="s">
        <v>3162</v>
      </c>
      <c r="G103" s="63">
        <v>25</v>
      </c>
      <c r="H103" s="63" t="s">
        <v>3154</v>
      </c>
    </row>
    <row r="104" spans="5:8">
      <c r="E104" s="63">
        <v>44</v>
      </c>
      <c r="F104" s="63" t="s">
        <v>3132</v>
      </c>
      <c r="G104" s="63">
        <v>28</v>
      </c>
      <c r="H104" s="63" t="s">
        <v>3163</v>
      </c>
    </row>
    <row r="105" spans="5:8">
      <c r="E105" s="63">
        <v>45</v>
      </c>
      <c r="F105" s="63" t="s">
        <v>3136</v>
      </c>
      <c r="G105" s="63">
        <v>30</v>
      </c>
      <c r="H105" s="63" t="s">
        <v>3164</v>
      </c>
    </row>
    <row r="106" spans="5:8">
      <c r="E106" s="63">
        <v>48</v>
      </c>
      <c r="F106" s="63" t="s">
        <v>3165</v>
      </c>
      <c r="G106" s="63">
        <v>32</v>
      </c>
      <c r="H106" s="63" t="s">
        <v>3166</v>
      </c>
    </row>
    <row r="107" spans="5:8">
      <c r="E107" s="63">
        <v>50</v>
      </c>
      <c r="F107" s="63" t="s">
        <v>3137</v>
      </c>
      <c r="G107" s="63">
        <v>35</v>
      </c>
      <c r="H107" s="63" t="s">
        <v>3167</v>
      </c>
    </row>
    <row r="108" spans="5:8">
      <c r="E108" s="63">
        <v>54</v>
      </c>
      <c r="F108" s="63" t="s">
        <v>3142</v>
      </c>
      <c r="G108" s="63">
        <v>36</v>
      </c>
      <c r="H108" s="63" t="s">
        <v>3168</v>
      </c>
    </row>
    <row r="109" spans="5:8">
      <c r="E109" s="63">
        <v>55</v>
      </c>
      <c r="F109" s="63" t="s">
        <v>3138</v>
      </c>
      <c r="G109" s="63">
        <v>40</v>
      </c>
      <c r="H109" s="63" t="s">
        <v>3169</v>
      </c>
    </row>
    <row r="110" spans="5:8">
      <c r="E110" s="63">
        <v>60</v>
      </c>
      <c r="F110" s="63" t="s">
        <v>3170</v>
      </c>
      <c r="G110" s="63">
        <v>42</v>
      </c>
      <c r="H110" s="63" t="s">
        <v>3171</v>
      </c>
    </row>
    <row r="111" spans="5:8">
      <c r="E111" s="63">
        <v>66</v>
      </c>
      <c r="F111" s="63" t="s">
        <v>3144</v>
      </c>
      <c r="G111" s="63">
        <v>44</v>
      </c>
      <c r="H111" s="63" t="s">
        <v>3172</v>
      </c>
    </row>
    <row r="112" spans="5:8">
      <c r="E112" s="63">
        <v>72</v>
      </c>
      <c r="F112" s="63" t="s">
        <v>3145</v>
      </c>
      <c r="G112" s="63">
        <v>45</v>
      </c>
      <c r="H112" s="63" t="s">
        <v>3173</v>
      </c>
    </row>
    <row r="113" spans="7:8">
      <c r="G113" s="63">
        <v>48</v>
      </c>
      <c r="H113" s="63" t="s">
        <v>3174</v>
      </c>
    </row>
    <row r="114" spans="7:8">
      <c r="G114" s="63">
        <v>50</v>
      </c>
      <c r="H114" s="63" t="s">
        <v>3175</v>
      </c>
    </row>
    <row r="115" spans="7:8">
      <c r="G115" s="63">
        <v>54</v>
      </c>
      <c r="H115" s="63" t="s">
        <v>3176</v>
      </c>
    </row>
    <row r="116" spans="7:8">
      <c r="G116" s="63">
        <v>55</v>
      </c>
      <c r="H116" s="63" t="s">
        <v>3177</v>
      </c>
    </row>
    <row r="117" spans="7:8">
      <c r="G117" s="63">
        <v>60</v>
      </c>
      <c r="H117" s="63" t="s">
        <v>3178</v>
      </c>
    </row>
    <row r="118" spans="7:8">
      <c r="G118" s="63">
        <v>66</v>
      </c>
      <c r="H118" s="63" t="s">
        <v>3179</v>
      </c>
    </row>
    <row r="119" spans="7:8">
      <c r="G119" s="63">
        <v>72</v>
      </c>
      <c r="H119" s="63" t="s">
        <v>3180</v>
      </c>
    </row>
  </sheetData>
  <mergeCells count="18">
    <mergeCell ref="A3:Z3"/>
    <mergeCell ref="C4:H4"/>
    <mergeCell ref="I4:N4"/>
    <mergeCell ref="O4:T4"/>
    <mergeCell ref="U4:Z4"/>
    <mergeCell ref="A31:Z31"/>
    <mergeCell ref="C32:E32"/>
    <mergeCell ref="F32:H32"/>
    <mergeCell ref="I32:K32"/>
    <mergeCell ref="L32:N32"/>
    <mergeCell ref="A59:Z59"/>
    <mergeCell ref="C60:E60"/>
    <mergeCell ref="F60:H60"/>
    <mergeCell ref="I60:K60"/>
    <mergeCell ref="L60:N60"/>
    <mergeCell ref="A7:A26"/>
    <mergeCell ref="A35:A54"/>
    <mergeCell ref="A63:A82"/>
  </mergeCells>
  <conditionalFormatting sqref="H85:J94">
    <cfRule type="duplicateValues" dxfId="15" priority="1"/>
  </conditionalFormatting>
  <conditionalFormatting sqref="E95:M95 E86:G94 K86:M94">
    <cfRule type="duplicateValues" dxfId="15" priority="2"/>
  </conditionalFormatting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M212"/>
  <sheetViews>
    <sheetView showGridLines="0" zoomScale="85" zoomScaleNormal="85" workbookViewId="0">
      <pane ySplit="4" topLeftCell="A170" activePane="bottomLeft" state="frozen"/>
      <selection/>
      <selection pane="bottomLeft" activeCell="I196" sqref="I196:I197"/>
    </sheetView>
  </sheetViews>
  <sheetFormatPr defaultColWidth="9" defaultRowHeight="13.2"/>
  <cols>
    <col min="1" max="1" width="4.77777777777778" style="2431" customWidth="1"/>
    <col min="2" max="2" width="9.22222222222222" style="2431" customWidth="1"/>
    <col min="3" max="3" width="18.2222222222222" style="2431" customWidth="1"/>
    <col min="4" max="4" width="21.3333333333333" style="2431" customWidth="1"/>
    <col min="5" max="5" width="14.4444444444444" style="2431" customWidth="1"/>
    <col min="6" max="6" width="15.6666666666667" style="2432" customWidth="1"/>
    <col min="7" max="7" width="30.1111111111111" style="2431" customWidth="1"/>
    <col min="8" max="8" width="9.44444444444444" style="2431" customWidth="1"/>
    <col min="9" max="9" width="12.1111111111111" style="2431" customWidth="1"/>
    <col min="10" max="10" width="9" style="2431" customWidth="1"/>
    <col min="11" max="11" width="15.2222222222222" style="2431" customWidth="1"/>
    <col min="12" max="12" width="9.77777777777778" style="2431" customWidth="1"/>
    <col min="13" max="16384" width="9" style="2431"/>
  </cols>
  <sheetData>
    <row r="1" spans="2:2">
      <c r="B1" s="2548" t="s">
        <v>423</v>
      </c>
    </row>
    <row r="2" spans="2:11">
      <c r="B2" s="2549" t="s">
        <v>424</v>
      </c>
      <c r="C2" s="2549" t="s">
        <v>425</v>
      </c>
      <c r="D2" s="2549" t="s">
        <v>426</v>
      </c>
      <c r="E2" s="2549" t="s">
        <v>427</v>
      </c>
      <c r="F2" s="2550" t="s">
        <v>428</v>
      </c>
      <c r="G2" s="2549" t="s">
        <v>429</v>
      </c>
      <c r="H2" s="2551" t="s">
        <v>430</v>
      </c>
      <c r="I2" s="2551" t="s">
        <v>431</v>
      </c>
      <c r="J2" s="2551" t="s">
        <v>432</v>
      </c>
      <c r="K2" s="2551" t="s">
        <v>433</v>
      </c>
    </row>
    <row r="3" spans="2:11">
      <c r="B3" s="2552"/>
      <c r="C3" s="2552"/>
      <c r="D3" s="2552"/>
      <c r="E3" s="2552"/>
      <c r="F3" s="2553"/>
      <c r="G3" s="2552"/>
      <c r="H3" s="2554"/>
      <c r="I3" s="2596" t="s">
        <v>434</v>
      </c>
      <c r="J3" s="2597" t="s">
        <v>435</v>
      </c>
      <c r="K3" s="2554" t="s">
        <v>436</v>
      </c>
    </row>
    <row r="4" spans="2:12">
      <c r="B4" s="2555" t="s">
        <v>437</v>
      </c>
      <c r="C4" s="2556" t="s">
        <v>1</v>
      </c>
      <c r="D4" s="2555" t="s">
        <v>438</v>
      </c>
      <c r="E4" s="2557" t="s">
        <v>439</v>
      </c>
      <c r="F4" s="2558" t="s">
        <v>440</v>
      </c>
      <c r="G4" s="2558" t="s">
        <v>441</v>
      </c>
      <c r="H4" s="2559" t="s">
        <v>442</v>
      </c>
      <c r="I4" s="2557" t="s">
        <v>443</v>
      </c>
      <c r="J4" s="2559" t="s">
        <v>444</v>
      </c>
      <c r="K4" s="2559" t="s">
        <v>445</v>
      </c>
      <c r="L4" s="2598" t="s">
        <v>446</v>
      </c>
    </row>
    <row r="5" spans="2:12">
      <c r="B5" s="2560" t="s">
        <v>340</v>
      </c>
      <c r="C5" s="2560" t="s">
        <v>447</v>
      </c>
      <c r="D5" s="2561" t="s">
        <v>7</v>
      </c>
      <c r="E5" s="2562"/>
      <c r="F5" s="2561"/>
      <c r="G5" s="2563" t="s">
        <v>448</v>
      </c>
      <c r="H5" s="2564">
        <v>2</v>
      </c>
      <c r="I5" s="2599"/>
      <c r="J5" s="2600"/>
      <c r="K5" s="2601"/>
      <c r="L5" s="2602" t="s">
        <v>449</v>
      </c>
    </row>
    <row r="6" spans="2:12">
      <c r="B6" s="2560" t="s">
        <v>340</v>
      </c>
      <c r="C6" s="2560" t="s">
        <v>450</v>
      </c>
      <c r="D6" s="2561"/>
      <c r="E6" s="2562"/>
      <c r="F6" s="2561"/>
      <c r="G6" s="2563" t="s">
        <v>451</v>
      </c>
      <c r="H6" s="2564"/>
      <c r="I6" s="2599"/>
      <c r="J6" s="2600"/>
      <c r="K6" s="2601"/>
      <c r="L6" s="2602" t="s">
        <v>449</v>
      </c>
    </row>
    <row r="7" spans="2:12">
      <c r="B7" s="2560" t="s">
        <v>340</v>
      </c>
      <c r="C7" s="2560" t="s">
        <v>452</v>
      </c>
      <c r="D7" s="2561"/>
      <c r="E7" s="2562"/>
      <c r="F7" s="2561"/>
      <c r="G7" s="2563" t="s">
        <v>453</v>
      </c>
      <c r="H7" s="2564"/>
      <c r="I7" s="2599"/>
      <c r="J7" s="2600"/>
      <c r="K7" s="2601"/>
      <c r="L7" s="2602" t="s">
        <v>449</v>
      </c>
    </row>
    <row r="8" spans="2:12">
      <c r="B8" s="2560" t="s">
        <v>340</v>
      </c>
      <c r="C8" s="2560" t="s">
        <v>454</v>
      </c>
      <c r="D8" s="2561"/>
      <c r="E8" s="2562"/>
      <c r="F8" s="2561"/>
      <c r="G8" s="2563" t="s">
        <v>455</v>
      </c>
      <c r="H8" s="2564"/>
      <c r="I8" s="2599"/>
      <c r="J8" s="2600"/>
      <c r="K8" s="2601"/>
      <c r="L8" s="2602" t="s">
        <v>449</v>
      </c>
    </row>
    <row r="9" spans="2:12">
      <c r="B9" s="2560" t="s">
        <v>340</v>
      </c>
      <c r="C9" s="2560" t="s">
        <v>456</v>
      </c>
      <c r="D9" s="2561" t="s">
        <v>7</v>
      </c>
      <c r="E9" s="2562"/>
      <c r="F9" s="2561"/>
      <c r="G9" s="2563" t="s">
        <v>457</v>
      </c>
      <c r="H9" s="2564"/>
      <c r="I9" s="2599"/>
      <c r="J9" s="2600"/>
      <c r="K9" s="2601"/>
      <c r="L9" s="2602" t="s">
        <v>449</v>
      </c>
    </row>
    <row r="10" spans="2:12">
      <c r="B10" s="2560" t="s">
        <v>340</v>
      </c>
      <c r="C10" s="2560" t="s">
        <v>340</v>
      </c>
      <c r="D10" s="2561" t="s">
        <v>458</v>
      </c>
      <c r="E10" s="2563"/>
      <c r="F10" s="2561" t="s">
        <v>459</v>
      </c>
      <c r="G10" s="2563"/>
      <c r="H10" s="2565" t="s">
        <v>460</v>
      </c>
      <c r="I10" s="2599"/>
      <c r="J10" s="2600"/>
      <c r="K10" s="2601"/>
      <c r="L10" s="2602" t="s">
        <v>449</v>
      </c>
    </row>
    <row r="11" spans="2:12">
      <c r="B11" s="2566" t="s">
        <v>7</v>
      </c>
      <c r="C11" s="2566" t="s">
        <v>7</v>
      </c>
      <c r="D11" s="2567" t="s">
        <v>461</v>
      </c>
      <c r="E11" s="2568"/>
      <c r="F11" s="2567" t="s">
        <v>459</v>
      </c>
      <c r="G11" s="2569" t="s">
        <v>462</v>
      </c>
      <c r="H11" s="2570" t="s">
        <v>460</v>
      </c>
      <c r="I11" s="2574"/>
      <c r="J11" s="2603"/>
      <c r="K11" s="2604"/>
      <c r="L11" s="2602" t="s">
        <v>449</v>
      </c>
    </row>
    <row r="12" spans="2:12">
      <c r="B12" s="2571" t="s">
        <v>449</v>
      </c>
      <c r="C12" s="2571" t="s">
        <v>463</v>
      </c>
      <c r="D12" s="2572" t="s">
        <v>463</v>
      </c>
      <c r="E12" s="2573"/>
      <c r="F12" s="2572"/>
      <c r="G12" s="2574" t="s">
        <v>464</v>
      </c>
      <c r="H12" s="2575"/>
      <c r="I12" s="2574"/>
      <c r="J12" s="2605">
        <v>10000</v>
      </c>
      <c r="K12" s="2606">
        <f t="shared" ref="K12:K41" si="0">H12/J12</f>
        <v>0</v>
      </c>
      <c r="L12" s="2602" t="s">
        <v>449</v>
      </c>
    </row>
    <row r="13" spans="2:12">
      <c r="B13" s="2571" t="s">
        <v>449</v>
      </c>
      <c r="C13" s="2571" t="s">
        <v>465</v>
      </c>
      <c r="D13" s="2572" t="s">
        <v>465</v>
      </c>
      <c r="E13" s="2573"/>
      <c r="F13" s="2572"/>
      <c r="G13" s="2574"/>
      <c r="H13" s="2575"/>
      <c r="I13" s="2574"/>
      <c r="J13" s="2605">
        <v>10000</v>
      </c>
      <c r="K13" s="2606">
        <f t="shared" si="0"/>
        <v>0</v>
      </c>
      <c r="L13" s="2602" t="s">
        <v>449</v>
      </c>
    </row>
    <row r="14" spans="2:12">
      <c r="B14" s="2571" t="s">
        <v>449</v>
      </c>
      <c r="C14" s="2571" t="s">
        <v>465</v>
      </c>
      <c r="D14" s="2572" t="s">
        <v>465</v>
      </c>
      <c r="E14" s="2573"/>
      <c r="F14" s="2572"/>
      <c r="G14" s="2574"/>
      <c r="H14" s="2575"/>
      <c r="I14" s="2574"/>
      <c r="J14" s="2605">
        <v>10000</v>
      </c>
      <c r="K14" s="2606">
        <f t="shared" si="0"/>
        <v>0</v>
      </c>
      <c r="L14" s="2602" t="s">
        <v>449</v>
      </c>
    </row>
    <row r="15" spans="2:12">
      <c r="B15" s="2571" t="s">
        <v>449</v>
      </c>
      <c r="C15" s="2571" t="s">
        <v>465</v>
      </c>
      <c r="D15" s="2572" t="s">
        <v>465</v>
      </c>
      <c r="E15" s="2573"/>
      <c r="F15" s="2572"/>
      <c r="G15" s="2574"/>
      <c r="H15" s="2575"/>
      <c r="I15" s="2574"/>
      <c r="J15" s="2605">
        <v>10000</v>
      </c>
      <c r="K15" s="2606">
        <f t="shared" si="0"/>
        <v>0</v>
      </c>
      <c r="L15" s="2602" t="s">
        <v>449</v>
      </c>
    </row>
    <row r="16" spans="2:12">
      <c r="B16" s="2571" t="s">
        <v>449</v>
      </c>
      <c r="C16" s="2571" t="s">
        <v>465</v>
      </c>
      <c r="D16" s="2572" t="s">
        <v>465</v>
      </c>
      <c r="E16" s="2573"/>
      <c r="F16" s="2572"/>
      <c r="G16" s="2574"/>
      <c r="H16" s="2575"/>
      <c r="I16" s="2574"/>
      <c r="J16" s="2605">
        <v>10000</v>
      </c>
      <c r="K16" s="2606">
        <f t="shared" si="0"/>
        <v>0</v>
      </c>
      <c r="L16" s="2602" t="s">
        <v>449</v>
      </c>
    </row>
    <row r="17" spans="2:12">
      <c r="B17" s="2571" t="s">
        <v>449</v>
      </c>
      <c r="C17" s="2571" t="s">
        <v>465</v>
      </c>
      <c r="D17" s="2572" t="s">
        <v>465</v>
      </c>
      <c r="E17" s="2573"/>
      <c r="F17" s="2572"/>
      <c r="G17" s="2574"/>
      <c r="H17" s="2575"/>
      <c r="I17" s="2574"/>
      <c r="J17" s="2605">
        <v>10000</v>
      </c>
      <c r="K17" s="2606">
        <f t="shared" si="0"/>
        <v>0</v>
      </c>
      <c r="L17" s="2602" t="s">
        <v>449</v>
      </c>
    </row>
    <row r="18" spans="2:12">
      <c r="B18" s="2571" t="s">
        <v>449</v>
      </c>
      <c r="C18" s="2571" t="s">
        <v>465</v>
      </c>
      <c r="D18" s="2572" t="s">
        <v>465</v>
      </c>
      <c r="E18" s="2573"/>
      <c r="F18" s="2572"/>
      <c r="G18" s="2574"/>
      <c r="H18" s="2575"/>
      <c r="I18" s="2574"/>
      <c r="J18" s="2605">
        <v>10000</v>
      </c>
      <c r="K18" s="2606">
        <f t="shared" si="0"/>
        <v>0</v>
      </c>
      <c r="L18" s="2602" t="s">
        <v>449</v>
      </c>
    </row>
    <row r="19" spans="2:12">
      <c r="B19" s="2571" t="s">
        <v>449</v>
      </c>
      <c r="C19" s="2571" t="s">
        <v>466</v>
      </c>
      <c r="D19" s="2572" t="s">
        <v>466</v>
      </c>
      <c r="E19" s="2573"/>
      <c r="F19" s="2572"/>
      <c r="G19" s="2574"/>
      <c r="H19" s="2575"/>
      <c r="I19" s="2574"/>
      <c r="J19" s="2605">
        <v>10000</v>
      </c>
      <c r="K19" s="2606">
        <f t="shared" si="0"/>
        <v>0</v>
      </c>
      <c r="L19" s="2602" t="s">
        <v>449</v>
      </c>
    </row>
    <row r="20" spans="2:12">
      <c r="B20" s="2571" t="s">
        <v>449</v>
      </c>
      <c r="C20" s="2571" t="s">
        <v>466</v>
      </c>
      <c r="D20" s="2572" t="s">
        <v>466</v>
      </c>
      <c r="E20" s="2573"/>
      <c r="F20" s="2572"/>
      <c r="G20" s="2574"/>
      <c r="H20" s="2575"/>
      <c r="I20" s="2574"/>
      <c r="J20" s="2605">
        <v>10000</v>
      </c>
      <c r="K20" s="2606">
        <f t="shared" si="0"/>
        <v>0</v>
      </c>
      <c r="L20" s="2602" t="s">
        <v>449</v>
      </c>
    </row>
    <row r="21" spans="2:12">
      <c r="B21" s="2571" t="s">
        <v>449</v>
      </c>
      <c r="C21" s="2571" t="s">
        <v>466</v>
      </c>
      <c r="D21" s="2572" t="s">
        <v>466</v>
      </c>
      <c r="E21" s="2573"/>
      <c r="F21" s="2572"/>
      <c r="G21" s="2574"/>
      <c r="H21" s="2575"/>
      <c r="I21" s="2574"/>
      <c r="J21" s="2605">
        <v>10000</v>
      </c>
      <c r="K21" s="2606">
        <f t="shared" si="0"/>
        <v>0</v>
      </c>
      <c r="L21" s="2602" t="s">
        <v>449</v>
      </c>
    </row>
    <row r="22" spans="2:12">
      <c r="B22" s="2571" t="s">
        <v>449</v>
      </c>
      <c r="C22" s="2571" t="s">
        <v>466</v>
      </c>
      <c r="D22" s="2572" t="s">
        <v>466</v>
      </c>
      <c r="E22" s="2573"/>
      <c r="F22" s="2572"/>
      <c r="G22" s="2574"/>
      <c r="H22" s="2575"/>
      <c r="I22" s="2574"/>
      <c r="J22" s="2605">
        <v>10000</v>
      </c>
      <c r="K22" s="2606">
        <f t="shared" si="0"/>
        <v>0</v>
      </c>
      <c r="L22" s="2602" t="s">
        <v>449</v>
      </c>
    </row>
    <row r="23" spans="2:12">
      <c r="B23" s="2571" t="s">
        <v>449</v>
      </c>
      <c r="C23" s="2571" t="s">
        <v>466</v>
      </c>
      <c r="D23" s="2572" t="s">
        <v>466</v>
      </c>
      <c r="E23" s="2573"/>
      <c r="F23" s="2572"/>
      <c r="G23" s="2574"/>
      <c r="H23" s="2575"/>
      <c r="I23" s="2574"/>
      <c r="J23" s="2605">
        <v>10000</v>
      </c>
      <c r="K23" s="2606">
        <f t="shared" si="0"/>
        <v>0</v>
      </c>
      <c r="L23" s="2602" t="s">
        <v>449</v>
      </c>
    </row>
    <row r="24" spans="2:12">
      <c r="B24" s="2571" t="s">
        <v>449</v>
      </c>
      <c r="C24" s="2571" t="s">
        <v>466</v>
      </c>
      <c r="D24" s="2572" t="s">
        <v>466</v>
      </c>
      <c r="E24" s="2573"/>
      <c r="F24" s="2572"/>
      <c r="G24" s="2574"/>
      <c r="H24" s="2575"/>
      <c r="I24" s="2574"/>
      <c r="J24" s="2605">
        <v>10000</v>
      </c>
      <c r="K24" s="2606">
        <f t="shared" si="0"/>
        <v>0</v>
      </c>
      <c r="L24" s="2602" t="s">
        <v>449</v>
      </c>
    </row>
    <row r="25" spans="2:12">
      <c r="B25" s="2571" t="s">
        <v>449</v>
      </c>
      <c r="C25" s="2571" t="s">
        <v>466</v>
      </c>
      <c r="D25" s="2572" t="s">
        <v>466</v>
      </c>
      <c r="E25" s="2573"/>
      <c r="F25" s="2572"/>
      <c r="G25" s="2574"/>
      <c r="H25" s="2575"/>
      <c r="I25" s="2574"/>
      <c r="J25" s="2605">
        <v>10000</v>
      </c>
      <c r="K25" s="2606">
        <f t="shared" si="0"/>
        <v>0</v>
      </c>
      <c r="L25" s="2602" t="s">
        <v>449</v>
      </c>
    </row>
    <row r="26" spans="2:12">
      <c r="B26" s="2571" t="s">
        <v>449</v>
      </c>
      <c r="C26" s="2571" t="s">
        <v>466</v>
      </c>
      <c r="D26" s="2572" t="s">
        <v>466</v>
      </c>
      <c r="E26" s="2573"/>
      <c r="F26" s="2572"/>
      <c r="G26" s="2574"/>
      <c r="H26" s="2575"/>
      <c r="I26" s="2574"/>
      <c r="J26" s="2605">
        <v>10000</v>
      </c>
      <c r="K26" s="2606">
        <f t="shared" si="0"/>
        <v>0</v>
      </c>
      <c r="L26" s="2602" t="s">
        <v>449</v>
      </c>
    </row>
    <row r="27" spans="2:12">
      <c r="B27" s="2571" t="s">
        <v>449</v>
      </c>
      <c r="C27" s="2571" t="s">
        <v>466</v>
      </c>
      <c r="D27" s="2572" t="s">
        <v>466</v>
      </c>
      <c r="E27" s="2573"/>
      <c r="F27" s="2572"/>
      <c r="G27" s="2574"/>
      <c r="H27" s="2575"/>
      <c r="I27" s="2574"/>
      <c r="J27" s="2605">
        <v>10000</v>
      </c>
      <c r="K27" s="2606">
        <f t="shared" si="0"/>
        <v>0</v>
      </c>
      <c r="L27" s="2602" t="s">
        <v>449</v>
      </c>
    </row>
    <row r="28" spans="2:12">
      <c r="B28" s="2571" t="s">
        <v>449</v>
      </c>
      <c r="C28" s="2571" t="s">
        <v>466</v>
      </c>
      <c r="D28" s="2572" t="s">
        <v>466</v>
      </c>
      <c r="E28" s="2573"/>
      <c r="F28" s="2572"/>
      <c r="G28" s="2574"/>
      <c r="H28" s="2575"/>
      <c r="I28" s="2574"/>
      <c r="J28" s="2605">
        <v>10000</v>
      </c>
      <c r="K28" s="2606">
        <f t="shared" si="0"/>
        <v>0</v>
      </c>
      <c r="L28" s="2602" t="s">
        <v>449</v>
      </c>
    </row>
    <row r="29" spans="2:12">
      <c r="B29" s="2571" t="s">
        <v>449</v>
      </c>
      <c r="C29" s="2571" t="s">
        <v>467</v>
      </c>
      <c r="D29" s="2572" t="s">
        <v>467</v>
      </c>
      <c r="E29" s="2573"/>
      <c r="F29" s="2572"/>
      <c r="G29" s="2574"/>
      <c r="H29" s="2575"/>
      <c r="I29" s="2574"/>
      <c r="J29" s="2605">
        <v>10000</v>
      </c>
      <c r="K29" s="2606">
        <f t="shared" si="0"/>
        <v>0</v>
      </c>
      <c r="L29" s="2602" t="s">
        <v>449</v>
      </c>
    </row>
    <row r="30" spans="2:12">
      <c r="B30" s="2571" t="s">
        <v>449</v>
      </c>
      <c r="C30" s="2571" t="s">
        <v>467</v>
      </c>
      <c r="D30" s="2572" t="s">
        <v>467</v>
      </c>
      <c r="E30" s="2573"/>
      <c r="F30" s="2572"/>
      <c r="G30" s="2574"/>
      <c r="H30" s="2575"/>
      <c r="I30" s="2574"/>
      <c r="J30" s="2605">
        <v>10000</v>
      </c>
      <c r="K30" s="2606">
        <f t="shared" si="0"/>
        <v>0</v>
      </c>
      <c r="L30" s="2602" t="s">
        <v>449</v>
      </c>
    </row>
    <row r="31" spans="2:12">
      <c r="B31" s="2571" t="s">
        <v>449</v>
      </c>
      <c r="C31" s="2571" t="s">
        <v>467</v>
      </c>
      <c r="D31" s="2572" t="s">
        <v>467</v>
      </c>
      <c r="E31" s="2573"/>
      <c r="F31" s="2572"/>
      <c r="G31" s="2574"/>
      <c r="H31" s="2575"/>
      <c r="I31" s="2574"/>
      <c r="J31" s="2605">
        <v>10000</v>
      </c>
      <c r="K31" s="2606">
        <f t="shared" si="0"/>
        <v>0</v>
      </c>
      <c r="L31" s="2602" t="s">
        <v>449</v>
      </c>
    </row>
    <row r="32" spans="2:12">
      <c r="B32" s="2571" t="s">
        <v>449</v>
      </c>
      <c r="C32" s="2571" t="s">
        <v>467</v>
      </c>
      <c r="D32" s="2572" t="s">
        <v>467</v>
      </c>
      <c r="E32" s="2573"/>
      <c r="F32" s="2572"/>
      <c r="G32" s="2574"/>
      <c r="H32" s="2575"/>
      <c r="I32" s="2574"/>
      <c r="J32" s="2605">
        <v>10000</v>
      </c>
      <c r="K32" s="2606">
        <f t="shared" si="0"/>
        <v>0</v>
      </c>
      <c r="L32" s="2602" t="s">
        <v>449</v>
      </c>
    </row>
    <row r="33" spans="2:12">
      <c r="B33" s="2571" t="s">
        <v>449</v>
      </c>
      <c r="C33" s="2571" t="s">
        <v>467</v>
      </c>
      <c r="D33" s="2572" t="s">
        <v>467</v>
      </c>
      <c r="E33" s="2573"/>
      <c r="F33" s="2572"/>
      <c r="G33" s="2574"/>
      <c r="H33" s="2575"/>
      <c r="I33" s="2574"/>
      <c r="J33" s="2605">
        <v>10000</v>
      </c>
      <c r="K33" s="2606">
        <f t="shared" si="0"/>
        <v>0</v>
      </c>
      <c r="L33" s="2602" t="s">
        <v>449</v>
      </c>
    </row>
    <row r="34" spans="2:12">
      <c r="B34" s="2571" t="s">
        <v>449</v>
      </c>
      <c r="C34" s="2571" t="s">
        <v>467</v>
      </c>
      <c r="D34" s="2572" t="s">
        <v>467</v>
      </c>
      <c r="E34" s="2573"/>
      <c r="F34" s="2572"/>
      <c r="G34" s="2574"/>
      <c r="H34" s="2575"/>
      <c r="I34" s="2574"/>
      <c r="J34" s="2605">
        <v>10000</v>
      </c>
      <c r="K34" s="2606">
        <f t="shared" si="0"/>
        <v>0</v>
      </c>
      <c r="L34" s="2602" t="s">
        <v>449</v>
      </c>
    </row>
    <row r="35" spans="2:12">
      <c r="B35" s="2571" t="s">
        <v>449</v>
      </c>
      <c r="C35" s="2571" t="s">
        <v>467</v>
      </c>
      <c r="D35" s="2572" t="s">
        <v>467</v>
      </c>
      <c r="E35" s="2573"/>
      <c r="F35" s="2572"/>
      <c r="G35" s="2574"/>
      <c r="H35" s="2575"/>
      <c r="I35" s="2574"/>
      <c r="J35" s="2605">
        <v>10000</v>
      </c>
      <c r="K35" s="2606">
        <f t="shared" si="0"/>
        <v>0</v>
      </c>
      <c r="L35" s="2602" t="s">
        <v>449</v>
      </c>
    </row>
    <row r="36" spans="2:12">
      <c r="B36" s="2571" t="s">
        <v>449</v>
      </c>
      <c r="C36" s="2571" t="s">
        <v>467</v>
      </c>
      <c r="D36" s="2572" t="s">
        <v>467</v>
      </c>
      <c r="E36" s="2573"/>
      <c r="F36" s="2572"/>
      <c r="G36" s="2574"/>
      <c r="H36" s="2575"/>
      <c r="I36" s="2574"/>
      <c r="J36" s="2605">
        <v>10000</v>
      </c>
      <c r="K36" s="2606">
        <f t="shared" si="0"/>
        <v>0</v>
      </c>
      <c r="L36" s="2602" t="s">
        <v>449</v>
      </c>
    </row>
    <row r="37" spans="2:12">
      <c r="B37" s="2571" t="s">
        <v>449</v>
      </c>
      <c r="C37" s="2571" t="s">
        <v>467</v>
      </c>
      <c r="D37" s="2572" t="s">
        <v>467</v>
      </c>
      <c r="E37" s="2573"/>
      <c r="F37" s="2572"/>
      <c r="G37" s="2574"/>
      <c r="H37" s="2575"/>
      <c r="I37" s="2574"/>
      <c r="J37" s="2605">
        <v>10000</v>
      </c>
      <c r="K37" s="2606">
        <f t="shared" si="0"/>
        <v>0</v>
      </c>
      <c r="L37" s="2602" t="s">
        <v>449</v>
      </c>
    </row>
    <row r="38" spans="2:12">
      <c r="B38" s="2571" t="s">
        <v>449</v>
      </c>
      <c r="C38" s="2571" t="s">
        <v>467</v>
      </c>
      <c r="D38" s="2572" t="s">
        <v>467</v>
      </c>
      <c r="E38" s="2573"/>
      <c r="F38" s="2572"/>
      <c r="G38" s="2574"/>
      <c r="H38" s="2575"/>
      <c r="I38" s="2574"/>
      <c r="J38" s="2605">
        <v>10000</v>
      </c>
      <c r="K38" s="2606">
        <f t="shared" si="0"/>
        <v>0</v>
      </c>
      <c r="L38" s="2602" t="s">
        <v>449</v>
      </c>
    </row>
    <row r="39" spans="2:12">
      <c r="B39" s="2571" t="s">
        <v>449</v>
      </c>
      <c r="C39" s="2571" t="s">
        <v>467</v>
      </c>
      <c r="D39" s="2572" t="s">
        <v>467</v>
      </c>
      <c r="E39" s="2573"/>
      <c r="F39" s="2572"/>
      <c r="G39" s="2574"/>
      <c r="H39" s="2575"/>
      <c r="I39" s="2574"/>
      <c r="J39" s="2605">
        <v>10000</v>
      </c>
      <c r="K39" s="2606">
        <f t="shared" si="0"/>
        <v>0</v>
      </c>
      <c r="L39" s="2602" t="s">
        <v>449</v>
      </c>
    </row>
    <row r="40" spans="2:12">
      <c r="B40" s="2571" t="s">
        <v>449</v>
      </c>
      <c r="C40" s="2571" t="s">
        <v>467</v>
      </c>
      <c r="D40" s="2572" t="s">
        <v>467</v>
      </c>
      <c r="E40" s="2573"/>
      <c r="F40" s="2572"/>
      <c r="G40" s="2574"/>
      <c r="H40" s="2575"/>
      <c r="I40" s="2574"/>
      <c r="J40" s="2605">
        <v>10000</v>
      </c>
      <c r="K40" s="2606">
        <f t="shared" si="0"/>
        <v>0</v>
      </c>
      <c r="L40" s="2602" t="s">
        <v>449</v>
      </c>
    </row>
    <row r="41" spans="2:12">
      <c r="B41" s="2571" t="s">
        <v>449</v>
      </c>
      <c r="C41" s="2571" t="s">
        <v>467</v>
      </c>
      <c r="D41" s="2572" t="s">
        <v>467</v>
      </c>
      <c r="E41" s="2573"/>
      <c r="F41" s="2572"/>
      <c r="G41" s="2574"/>
      <c r="H41" s="2575"/>
      <c r="I41" s="2574"/>
      <c r="J41" s="2605">
        <v>10000</v>
      </c>
      <c r="K41" s="2606">
        <f t="shared" si="0"/>
        <v>0</v>
      </c>
      <c r="L41" s="2602" t="s">
        <v>449</v>
      </c>
    </row>
    <row r="42" spans="2:12">
      <c r="B42" s="2576" t="s">
        <v>7</v>
      </c>
      <c r="C42" s="2576" t="s">
        <v>7</v>
      </c>
      <c r="D42" s="2577" t="s">
        <v>468</v>
      </c>
      <c r="E42" s="2578"/>
      <c r="F42" s="2577" t="s">
        <v>459</v>
      </c>
      <c r="G42" s="2579" t="s">
        <v>462</v>
      </c>
      <c r="H42" s="2580" t="s">
        <v>460</v>
      </c>
      <c r="I42" s="2584"/>
      <c r="J42" s="2607"/>
      <c r="K42" s="2608"/>
      <c r="L42" s="2602" t="s">
        <v>469</v>
      </c>
    </row>
    <row r="43" spans="2:12">
      <c r="B43" s="2581" t="s">
        <v>469</v>
      </c>
      <c r="C43" s="2581" t="s">
        <v>463</v>
      </c>
      <c r="D43" s="2582" t="s">
        <v>463</v>
      </c>
      <c r="E43" s="2583"/>
      <c r="F43" s="2582"/>
      <c r="G43" s="2584"/>
      <c r="H43" s="2585"/>
      <c r="I43" s="2584"/>
      <c r="J43" s="2609">
        <v>10000</v>
      </c>
      <c r="K43" s="2610">
        <f t="shared" ref="K43:K55" si="1">H43/J43</f>
        <v>0</v>
      </c>
      <c r="L43" s="2602" t="s">
        <v>469</v>
      </c>
    </row>
    <row r="44" spans="2:12">
      <c r="B44" s="2581" t="s">
        <v>469</v>
      </c>
      <c r="C44" s="2581" t="s">
        <v>470</v>
      </c>
      <c r="D44" s="2582" t="s">
        <v>471</v>
      </c>
      <c r="E44" s="2583"/>
      <c r="F44" s="2582"/>
      <c r="G44" s="2584"/>
      <c r="H44" s="2585"/>
      <c r="I44" s="2584"/>
      <c r="J44" s="2609">
        <v>10000</v>
      </c>
      <c r="K44" s="2610">
        <f t="shared" si="1"/>
        <v>0</v>
      </c>
      <c r="L44" s="2602" t="s">
        <v>469</v>
      </c>
    </row>
    <row r="45" spans="2:12">
      <c r="B45" s="2581" t="s">
        <v>469</v>
      </c>
      <c r="C45" s="2581" t="s">
        <v>470</v>
      </c>
      <c r="D45" s="2582" t="s">
        <v>472</v>
      </c>
      <c r="E45" s="2583"/>
      <c r="F45" s="2582"/>
      <c r="G45" s="2584"/>
      <c r="H45" s="2585"/>
      <c r="I45" s="2584"/>
      <c r="J45" s="2609">
        <v>10000</v>
      </c>
      <c r="K45" s="2610">
        <f t="shared" si="1"/>
        <v>0</v>
      </c>
      <c r="L45" s="2602" t="s">
        <v>469</v>
      </c>
    </row>
    <row r="46" spans="2:12">
      <c r="B46" s="2581" t="s">
        <v>469</v>
      </c>
      <c r="C46" s="2581" t="s">
        <v>470</v>
      </c>
      <c r="D46" s="2582" t="s">
        <v>473</v>
      </c>
      <c r="E46" s="2583"/>
      <c r="F46" s="2582"/>
      <c r="G46" s="2584"/>
      <c r="H46" s="2585"/>
      <c r="I46" s="2584"/>
      <c r="J46" s="2609">
        <v>10000</v>
      </c>
      <c r="K46" s="2610">
        <f t="shared" si="1"/>
        <v>0</v>
      </c>
      <c r="L46" s="2602" t="s">
        <v>469</v>
      </c>
    </row>
    <row r="47" spans="2:12">
      <c r="B47" s="2581" t="s">
        <v>469</v>
      </c>
      <c r="C47" s="2581" t="s">
        <v>470</v>
      </c>
      <c r="D47" s="2582" t="s">
        <v>474</v>
      </c>
      <c r="E47" s="2583"/>
      <c r="F47" s="2582"/>
      <c r="G47" s="2584"/>
      <c r="H47" s="2585"/>
      <c r="I47" s="2584"/>
      <c r="J47" s="2609">
        <v>10000</v>
      </c>
      <c r="K47" s="2610">
        <f t="shared" si="1"/>
        <v>0</v>
      </c>
      <c r="L47" s="2602" t="s">
        <v>469</v>
      </c>
    </row>
    <row r="48" spans="2:12">
      <c r="B48" s="2581" t="s">
        <v>469</v>
      </c>
      <c r="C48" s="2581" t="s">
        <v>470</v>
      </c>
      <c r="D48" s="2582" t="s">
        <v>475</v>
      </c>
      <c r="E48" s="2583"/>
      <c r="F48" s="2582"/>
      <c r="G48" s="2584"/>
      <c r="H48" s="2585"/>
      <c r="I48" s="2584"/>
      <c r="J48" s="2609">
        <v>10000</v>
      </c>
      <c r="K48" s="2610">
        <f t="shared" si="1"/>
        <v>0</v>
      </c>
      <c r="L48" s="2602" t="s">
        <v>469</v>
      </c>
    </row>
    <row r="49" spans="2:12">
      <c r="B49" s="2581" t="s">
        <v>469</v>
      </c>
      <c r="C49" s="2581" t="s">
        <v>470</v>
      </c>
      <c r="D49" s="2582" t="s">
        <v>476</v>
      </c>
      <c r="E49" s="2583"/>
      <c r="F49" s="2582"/>
      <c r="G49" s="2584"/>
      <c r="H49" s="2585"/>
      <c r="I49" s="2584"/>
      <c r="J49" s="2609">
        <v>10000</v>
      </c>
      <c r="K49" s="2610">
        <f t="shared" si="1"/>
        <v>0</v>
      </c>
      <c r="L49" s="2602" t="s">
        <v>469</v>
      </c>
    </row>
    <row r="50" spans="2:12">
      <c r="B50" s="2581" t="s">
        <v>469</v>
      </c>
      <c r="C50" s="2581" t="s">
        <v>470</v>
      </c>
      <c r="D50" s="2582" t="s">
        <v>477</v>
      </c>
      <c r="E50" s="2583"/>
      <c r="F50" s="2582"/>
      <c r="G50" s="2584"/>
      <c r="H50" s="2585"/>
      <c r="I50" s="2584"/>
      <c r="J50" s="2609">
        <v>10000</v>
      </c>
      <c r="K50" s="2610">
        <f t="shared" si="1"/>
        <v>0</v>
      </c>
      <c r="L50" s="2602" t="s">
        <v>469</v>
      </c>
    </row>
    <row r="51" spans="2:12">
      <c r="B51" s="2581" t="s">
        <v>469</v>
      </c>
      <c r="C51" s="2581" t="s">
        <v>467</v>
      </c>
      <c r="D51" s="2582" t="s">
        <v>478</v>
      </c>
      <c r="E51" s="2583"/>
      <c r="F51" s="2582"/>
      <c r="G51" s="2584"/>
      <c r="H51" s="2585"/>
      <c r="I51" s="2584"/>
      <c r="J51" s="2609">
        <v>10000</v>
      </c>
      <c r="K51" s="2610">
        <f t="shared" si="1"/>
        <v>0</v>
      </c>
      <c r="L51" s="2602" t="s">
        <v>469</v>
      </c>
    </row>
    <row r="52" spans="2:12">
      <c r="B52" s="2581" t="s">
        <v>469</v>
      </c>
      <c r="C52" s="2581" t="s">
        <v>467</v>
      </c>
      <c r="D52" s="2582" t="s">
        <v>479</v>
      </c>
      <c r="E52" s="2583"/>
      <c r="F52" s="2582"/>
      <c r="G52" s="2584"/>
      <c r="H52" s="2585"/>
      <c r="I52" s="2584"/>
      <c r="J52" s="2609">
        <v>10000</v>
      </c>
      <c r="K52" s="2610">
        <f t="shared" si="1"/>
        <v>0</v>
      </c>
      <c r="L52" s="2602" t="s">
        <v>469</v>
      </c>
    </row>
    <row r="53" spans="2:12">
      <c r="B53" s="2581" t="s">
        <v>469</v>
      </c>
      <c r="C53" s="2581" t="s">
        <v>467</v>
      </c>
      <c r="D53" s="2582" t="s">
        <v>480</v>
      </c>
      <c r="E53" s="2583"/>
      <c r="F53" s="2582"/>
      <c r="G53" s="2584"/>
      <c r="H53" s="2585"/>
      <c r="I53" s="2584"/>
      <c r="J53" s="2609">
        <v>10000</v>
      </c>
      <c r="K53" s="2610">
        <f t="shared" si="1"/>
        <v>0</v>
      </c>
      <c r="L53" s="2602" t="s">
        <v>469</v>
      </c>
    </row>
    <row r="54" spans="2:12">
      <c r="B54" s="2581" t="s">
        <v>469</v>
      </c>
      <c r="C54" s="2581" t="s">
        <v>467</v>
      </c>
      <c r="D54" s="2582" t="s">
        <v>481</v>
      </c>
      <c r="E54" s="2583"/>
      <c r="F54" s="2582"/>
      <c r="G54" s="2584"/>
      <c r="H54" s="2585"/>
      <c r="I54" s="2584"/>
      <c r="J54" s="2609">
        <v>10000</v>
      </c>
      <c r="K54" s="2610">
        <f t="shared" si="1"/>
        <v>0</v>
      </c>
      <c r="L54" s="2602" t="s">
        <v>469</v>
      </c>
    </row>
    <row r="55" spans="2:12">
      <c r="B55" s="2581" t="s">
        <v>469</v>
      </c>
      <c r="C55" s="2581" t="s">
        <v>465</v>
      </c>
      <c r="D55" s="2582" t="s">
        <v>482</v>
      </c>
      <c r="E55" s="2583"/>
      <c r="F55" s="2582"/>
      <c r="G55" s="2584"/>
      <c r="H55" s="2585"/>
      <c r="I55" s="2584"/>
      <c r="J55" s="2609">
        <v>10000</v>
      </c>
      <c r="K55" s="2610">
        <f t="shared" si="1"/>
        <v>0</v>
      </c>
      <c r="L55" s="2602" t="s">
        <v>469</v>
      </c>
    </row>
    <row r="56" spans="2:12">
      <c r="B56" s="2586" t="s">
        <v>7</v>
      </c>
      <c r="C56" s="2586" t="s">
        <v>7</v>
      </c>
      <c r="D56" s="2586" t="s">
        <v>483</v>
      </c>
      <c r="E56" s="2587"/>
      <c r="F56" s="2588" t="s">
        <v>459</v>
      </c>
      <c r="G56" s="2589" t="s">
        <v>462</v>
      </c>
      <c r="H56" s="2590" t="s">
        <v>460</v>
      </c>
      <c r="I56" s="2594"/>
      <c r="J56" s="2611"/>
      <c r="K56" s="2612"/>
      <c r="L56" s="2602"/>
    </row>
    <row r="57" spans="2:13">
      <c r="B57" s="2591" t="s">
        <v>340</v>
      </c>
      <c r="C57" s="2591" t="s">
        <v>484</v>
      </c>
      <c r="D57" s="2591" t="s">
        <v>465</v>
      </c>
      <c r="E57" s="2592"/>
      <c r="F57" s="2593"/>
      <c r="G57" s="2594"/>
      <c r="H57" s="2595"/>
      <c r="I57" s="2594"/>
      <c r="J57" s="2613">
        <v>10000</v>
      </c>
      <c r="K57" s="2614">
        <f t="shared" ref="K57:K66" si="2">H57/J57</f>
        <v>0</v>
      </c>
      <c r="L57" s="2602" t="s">
        <v>469</v>
      </c>
      <c r="M57" s="2431" t="s">
        <v>485</v>
      </c>
    </row>
    <row r="58" spans="2:13">
      <c r="B58" s="2591" t="s">
        <v>340</v>
      </c>
      <c r="C58" s="2591" t="s">
        <v>484</v>
      </c>
      <c r="D58" s="2591" t="s">
        <v>467</v>
      </c>
      <c r="E58" s="2592"/>
      <c r="F58" s="2593"/>
      <c r="G58" s="2594"/>
      <c r="H58" s="2595"/>
      <c r="I58" s="2594"/>
      <c r="J58" s="2613">
        <v>10000</v>
      </c>
      <c r="K58" s="2614">
        <f t="shared" si="2"/>
        <v>0</v>
      </c>
      <c r="L58" s="2602" t="s">
        <v>469</v>
      </c>
      <c r="M58" s="2431" t="s">
        <v>485</v>
      </c>
    </row>
    <row r="59" spans="2:13">
      <c r="B59" s="2591" t="s">
        <v>340</v>
      </c>
      <c r="C59" s="2591" t="s">
        <v>484</v>
      </c>
      <c r="D59" s="2591" t="s">
        <v>467</v>
      </c>
      <c r="E59" s="2592"/>
      <c r="F59" s="2593"/>
      <c r="G59" s="2594"/>
      <c r="H59" s="2595"/>
      <c r="I59" s="2594"/>
      <c r="J59" s="2613">
        <v>10000</v>
      </c>
      <c r="K59" s="2614">
        <f t="shared" si="2"/>
        <v>0</v>
      </c>
      <c r="L59" s="2602" t="s">
        <v>469</v>
      </c>
      <c r="M59" s="2431" t="s">
        <v>485</v>
      </c>
    </row>
    <row r="60" spans="2:13">
      <c r="B60" s="2591" t="s">
        <v>340</v>
      </c>
      <c r="C60" s="2591" t="s">
        <v>484</v>
      </c>
      <c r="D60" s="2591" t="s">
        <v>467</v>
      </c>
      <c r="E60" s="2592"/>
      <c r="F60" s="2593"/>
      <c r="G60" s="2594"/>
      <c r="H60" s="2595"/>
      <c r="I60" s="2594"/>
      <c r="J60" s="2613">
        <v>10000</v>
      </c>
      <c r="K60" s="2614">
        <f t="shared" si="2"/>
        <v>0</v>
      </c>
      <c r="L60" s="2602" t="s">
        <v>469</v>
      </c>
      <c r="M60" s="2431" t="s">
        <v>485</v>
      </c>
    </row>
    <row r="61" spans="2:13">
      <c r="B61" s="2591" t="s">
        <v>340</v>
      </c>
      <c r="C61" s="2591" t="s">
        <v>484</v>
      </c>
      <c r="D61" s="2591" t="s">
        <v>467</v>
      </c>
      <c r="E61" s="2592"/>
      <c r="F61" s="2593"/>
      <c r="G61" s="2594"/>
      <c r="H61" s="2595"/>
      <c r="I61" s="2594"/>
      <c r="J61" s="2613">
        <v>10000</v>
      </c>
      <c r="K61" s="2614">
        <f t="shared" si="2"/>
        <v>0</v>
      </c>
      <c r="L61" s="2602" t="s">
        <v>469</v>
      </c>
      <c r="M61" s="2431" t="s">
        <v>485</v>
      </c>
    </row>
    <row r="62" spans="2:13">
      <c r="B62" s="2591" t="s">
        <v>340</v>
      </c>
      <c r="C62" s="2591" t="s">
        <v>484</v>
      </c>
      <c r="D62" s="2591" t="s">
        <v>467</v>
      </c>
      <c r="E62" s="2592"/>
      <c r="F62" s="2593"/>
      <c r="G62" s="2594"/>
      <c r="H62" s="2595"/>
      <c r="I62" s="2594"/>
      <c r="J62" s="2613">
        <v>10000</v>
      </c>
      <c r="K62" s="2614">
        <f t="shared" si="2"/>
        <v>0</v>
      </c>
      <c r="L62" s="2602" t="s">
        <v>469</v>
      </c>
      <c r="M62" s="2431" t="s">
        <v>485</v>
      </c>
    </row>
    <row r="63" spans="2:13">
      <c r="B63" s="2591" t="s">
        <v>340</v>
      </c>
      <c r="C63" s="2591" t="s">
        <v>484</v>
      </c>
      <c r="D63" s="2591" t="s">
        <v>467</v>
      </c>
      <c r="E63" s="2592"/>
      <c r="F63" s="2593"/>
      <c r="G63" s="2594"/>
      <c r="H63" s="2595"/>
      <c r="I63" s="2594"/>
      <c r="J63" s="2613">
        <v>10000</v>
      </c>
      <c r="K63" s="2614">
        <f t="shared" si="2"/>
        <v>0</v>
      </c>
      <c r="L63" s="2602" t="s">
        <v>469</v>
      </c>
      <c r="M63" s="2431" t="s">
        <v>485</v>
      </c>
    </row>
    <row r="64" spans="2:13">
      <c r="B64" s="2591" t="s">
        <v>340</v>
      </c>
      <c r="C64" s="2591" t="s">
        <v>484</v>
      </c>
      <c r="D64" s="2591" t="s">
        <v>467</v>
      </c>
      <c r="E64" s="2592"/>
      <c r="F64" s="2593"/>
      <c r="G64" s="2594"/>
      <c r="H64" s="2595"/>
      <c r="I64" s="2594"/>
      <c r="J64" s="2613">
        <v>10000</v>
      </c>
      <c r="K64" s="2614">
        <f t="shared" si="2"/>
        <v>0</v>
      </c>
      <c r="L64" s="2602" t="s">
        <v>469</v>
      </c>
      <c r="M64" s="2431" t="s">
        <v>485</v>
      </c>
    </row>
    <row r="65" spans="2:13">
      <c r="B65" s="2591" t="s">
        <v>340</v>
      </c>
      <c r="C65" s="2591" t="s">
        <v>484</v>
      </c>
      <c r="D65" s="2591" t="s">
        <v>467</v>
      </c>
      <c r="E65" s="2592"/>
      <c r="F65" s="2593"/>
      <c r="G65" s="2594"/>
      <c r="H65" s="2595"/>
      <c r="I65" s="2594"/>
      <c r="J65" s="2613">
        <v>10000</v>
      </c>
      <c r="K65" s="2614">
        <f t="shared" si="2"/>
        <v>0</v>
      </c>
      <c r="L65" s="2602" t="s">
        <v>469</v>
      </c>
      <c r="M65" s="2431" t="s">
        <v>485</v>
      </c>
    </row>
    <row r="66" spans="2:13">
      <c r="B66" s="2591" t="s">
        <v>340</v>
      </c>
      <c r="C66" s="2591" t="s">
        <v>484</v>
      </c>
      <c r="D66" s="2591" t="s">
        <v>467</v>
      </c>
      <c r="E66" s="2592"/>
      <c r="F66" s="2593"/>
      <c r="G66" s="2594"/>
      <c r="H66" s="2595"/>
      <c r="I66" s="2594"/>
      <c r="J66" s="2613">
        <v>10000</v>
      </c>
      <c r="K66" s="2614">
        <f t="shared" si="2"/>
        <v>0</v>
      </c>
      <c r="L66" s="2602" t="s">
        <v>469</v>
      </c>
      <c r="M66" s="2431" t="s">
        <v>485</v>
      </c>
    </row>
    <row r="67" spans="2:12">
      <c r="B67" s="2615" t="s">
        <v>7</v>
      </c>
      <c r="C67" s="2615" t="s">
        <v>7</v>
      </c>
      <c r="D67" s="2616" t="s">
        <v>486</v>
      </c>
      <c r="E67" s="2617"/>
      <c r="F67" s="2616" t="s">
        <v>459</v>
      </c>
      <c r="G67" s="2618" t="s">
        <v>462</v>
      </c>
      <c r="H67" s="2619" t="s">
        <v>460</v>
      </c>
      <c r="I67" s="2624"/>
      <c r="J67" s="2639"/>
      <c r="K67" s="2640"/>
      <c r="L67" s="2602" t="s">
        <v>487</v>
      </c>
    </row>
    <row r="68" spans="2:12">
      <c r="B68" s="2620" t="s">
        <v>487</v>
      </c>
      <c r="C68" s="2621" t="s">
        <v>488</v>
      </c>
      <c r="D68" s="2621"/>
      <c r="E68" s="2617"/>
      <c r="F68" s="2616"/>
      <c r="G68" s="2622" t="s">
        <v>489</v>
      </c>
      <c r="H68" s="2619"/>
      <c r="I68" s="2624"/>
      <c r="J68" s="2639"/>
      <c r="K68" s="2640"/>
      <c r="L68" s="2602" t="s">
        <v>487</v>
      </c>
    </row>
    <row r="69" spans="2:12">
      <c r="B69" s="2620" t="s">
        <v>487</v>
      </c>
      <c r="C69" s="2621" t="s">
        <v>490</v>
      </c>
      <c r="D69" s="2621"/>
      <c r="E69" s="2617"/>
      <c r="F69" s="2616"/>
      <c r="G69" s="2622" t="s">
        <v>491</v>
      </c>
      <c r="H69" s="2619"/>
      <c r="I69" s="2624"/>
      <c r="J69" s="2639"/>
      <c r="K69" s="2640"/>
      <c r="L69" s="2602" t="s">
        <v>487</v>
      </c>
    </row>
    <row r="70" spans="2:12">
      <c r="B70" s="2620" t="s">
        <v>487</v>
      </c>
      <c r="C70" s="2621" t="s">
        <v>492</v>
      </c>
      <c r="D70" s="2621"/>
      <c r="E70" s="2617"/>
      <c r="F70" s="2616"/>
      <c r="G70" s="2622" t="s">
        <v>493</v>
      </c>
      <c r="H70" s="2619"/>
      <c r="I70" s="2624"/>
      <c r="J70" s="2639"/>
      <c r="K70" s="2640"/>
      <c r="L70" s="2602" t="s">
        <v>487</v>
      </c>
    </row>
    <row r="71" spans="2:12">
      <c r="B71" s="2620" t="s">
        <v>487</v>
      </c>
      <c r="C71" s="2621" t="s">
        <v>494</v>
      </c>
      <c r="D71" s="2621"/>
      <c r="E71" s="2617"/>
      <c r="F71" s="2616"/>
      <c r="G71" s="2622" t="s">
        <v>495</v>
      </c>
      <c r="H71" s="2619"/>
      <c r="I71" s="2624"/>
      <c r="J71" s="2639"/>
      <c r="K71" s="2640"/>
      <c r="L71" s="2602" t="s">
        <v>487</v>
      </c>
    </row>
    <row r="72" spans="2:12">
      <c r="B72" s="2620" t="s">
        <v>487</v>
      </c>
      <c r="C72" s="2621" t="s">
        <v>496</v>
      </c>
      <c r="D72" s="2621"/>
      <c r="E72" s="2617"/>
      <c r="F72" s="2616"/>
      <c r="G72" s="2622" t="s">
        <v>497</v>
      </c>
      <c r="H72" s="2619"/>
      <c r="I72" s="2624"/>
      <c r="J72" s="2639"/>
      <c r="K72" s="2640"/>
      <c r="L72" s="2602" t="s">
        <v>487</v>
      </c>
    </row>
    <row r="73" spans="2:12">
      <c r="B73" s="2620" t="s">
        <v>487</v>
      </c>
      <c r="C73" s="2620" t="s">
        <v>498</v>
      </c>
      <c r="D73" s="2621" t="s">
        <v>498</v>
      </c>
      <c r="E73" s="2623"/>
      <c r="F73" s="2621"/>
      <c r="G73" s="2624"/>
      <c r="H73" s="2624"/>
      <c r="I73" s="2624"/>
      <c r="J73" s="2641">
        <v>10000</v>
      </c>
      <c r="K73" s="2642">
        <f t="shared" ref="K73:K136" si="3">H73/J73</f>
        <v>0</v>
      </c>
      <c r="L73" s="2602" t="s">
        <v>487</v>
      </c>
    </row>
    <row r="74" spans="2:12">
      <c r="B74" s="2620" t="s">
        <v>487</v>
      </c>
      <c r="C74" s="2620" t="s">
        <v>499</v>
      </c>
      <c r="D74" s="2621" t="s">
        <v>499</v>
      </c>
      <c r="E74" s="2623"/>
      <c r="F74" s="2621"/>
      <c r="G74" s="2624"/>
      <c r="H74" s="2625"/>
      <c r="I74" s="2624"/>
      <c r="J74" s="2641">
        <v>10000</v>
      </c>
      <c r="K74" s="2642">
        <f t="shared" si="3"/>
        <v>0</v>
      </c>
      <c r="L74" s="2602" t="s">
        <v>487</v>
      </c>
    </row>
    <row r="75" spans="2:12">
      <c r="B75" s="2620" t="s">
        <v>487</v>
      </c>
      <c r="C75" s="2620" t="s">
        <v>500</v>
      </c>
      <c r="D75" s="2621" t="s">
        <v>500</v>
      </c>
      <c r="E75" s="2623"/>
      <c r="F75" s="2621"/>
      <c r="G75" s="2624"/>
      <c r="H75" s="2625"/>
      <c r="I75" s="2624"/>
      <c r="J75" s="2641">
        <v>10000</v>
      </c>
      <c r="K75" s="2642">
        <f t="shared" si="3"/>
        <v>0</v>
      </c>
      <c r="L75" s="2602" t="s">
        <v>487</v>
      </c>
    </row>
    <row r="76" spans="2:12">
      <c r="B76" s="2620" t="s">
        <v>487</v>
      </c>
      <c r="C76" s="2620" t="s">
        <v>501</v>
      </c>
      <c r="D76" s="2621" t="s">
        <v>502</v>
      </c>
      <c r="E76" s="2623"/>
      <c r="F76" s="2621"/>
      <c r="G76" s="2624"/>
      <c r="H76" s="2625"/>
      <c r="I76" s="2624"/>
      <c r="J76" s="2641">
        <v>10000</v>
      </c>
      <c r="K76" s="2642">
        <f t="shared" si="3"/>
        <v>0</v>
      </c>
      <c r="L76" s="2602" t="s">
        <v>487</v>
      </c>
    </row>
    <row r="77" spans="2:12">
      <c r="B77" s="2620" t="s">
        <v>487</v>
      </c>
      <c r="C77" s="2620" t="s">
        <v>501</v>
      </c>
      <c r="D77" s="2621" t="s">
        <v>503</v>
      </c>
      <c r="E77" s="2623"/>
      <c r="F77" s="2621"/>
      <c r="G77" s="2624"/>
      <c r="H77" s="2625"/>
      <c r="I77" s="2624"/>
      <c r="J77" s="2641">
        <v>10000</v>
      </c>
      <c r="K77" s="2642">
        <f t="shared" si="3"/>
        <v>0</v>
      </c>
      <c r="L77" s="2602" t="s">
        <v>487</v>
      </c>
    </row>
    <row r="78" spans="2:12">
      <c r="B78" s="2620" t="s">
        <v>487</v>
      </c>
      <c r="C78" s="2620" t="s">
        <v>501</v>
      </c>
      <c r="D78" s="2621" t="s">
        <v>504</v>
      </c>
      <c r="E78" s="2623"/>
      <c r="F78" s="2621"/>
      <c r="G78" s="2624"/>
      <c r="H78" s="2625"/>
      <c r="I78" s="2624"/>
      <c r="J78" s="2641">
        <v>10000</v>
      </c>
      <c r="K78" s="2642">
        <f t="shared" si="3"/>
        <v>0</v>
      </c>
      <c r="L78" s="2602" t="s">
        <v>487</v>
      </c>
    </row>
    <row r="79" spans="2:12">
      <c r="B79" s="2626" t="s">
        <v>505</v>
      </c>
      <c r="C79" s="2626" t="s">
        <v>506</v>
      </c>
      <c r="D79" s="2551" t="s">
        <v>507</v>
      </c>
      <c r="E79" s="2627"/>
      <c r="F79" s="2551"/>
      <c r="G79" s="2628"/>
      <c r="H79" s="2629">
        <v>1</v>
      </c>
      <c r="I79" s="2628"/>
      <c r="J79" s="2643">
        <v>1</v>
      </c>
      <c r="K79" s="2644">
        <f t="shared" si="3"/>
        <v>1</v>
      </c>
      <c r="L79" s="2602" t="s">
        <v>487</v>
      </c>
    </row>
    <row r="80" spans="2:12">
      <c r="B80" s="2626" t="s">
        <v>505</v>
      </c>
      <c r="C80" s="2626" t="s">
        <v>506</v>
      </c>
      <c r="D80" s="2551" t="s">
        <v>508</v>
      </c>
      <c r="E80" s="2627"/>
      <c r="F80" s="2551"/>
      <c r="G80" s="2628"/>
      <c r="H80" s="2629">
        <v>1</v>
      </c>
      <c r="I80" s="2628"/>
      <c r="J80" s="2643">
        <v>1</v>
      </c>
      <c r="K80" s="2644">
        <f t="shared" si="3"/>
        <v>1</v>
      </c>
      <c r="L80" s="2602" t="s">
        <v>487</v>
      </c>
    </row>
    <row r="81" spans="2:12">
      <c r="B81" s="2630" t="s">
        <v>505</v>
      </c>
      <c r="C81" s="2630" t="s">
        <v>509</v>
      </c>
      <c r="D81" s="2631" t="s">
        <v>509</v>
      </c>
      <c r="E81" s="2632"/>
      <c r="F81" s="2631"/>
      <c r="G81" s="2633"/>
      <c r="H81" s="2634"/>
      <c r="I81" s="2633"/>
      <c r="J81" s="2645">
        <v>1</v>
      </c>
      <c r="K81" s="2646">
        <f t="shared" si="3"/>
        <v>0</v>
      </c>
      <c r="L81" s="2602" t="s">
        <v>510</v>
      </c>
    </row>
    <row r="82" spans="2:12">
      <c r="B82" s="2630" t="s">
        <v>505</v>
      </c>
      <c r="C82" s="2630" t="s">
        <v>509</v>
      </c>
      <c r="D82" s="2631" t="s">
        <v>511</v>
      </c>
      <c r="E82" s="2630" t="s">
        <v>512</v>
      </c>
      <c r="F82" s="2631"/>
      <c r="G82" s="2633"/>
      <c r="H82" s="2634">
        <v>0</v>
      </c>
      <c r="I82" s="2633"/>
      <c r="J82" s="2645">
        <v>1</v>
      </c>
      <c r="K82" s="2646">
        <f t="shared" si="3"/>
        <v>0</v>
      </c>
      <c r="L82" s="2602" t="s">
        <v>510</v>
      </c>
    </row>
    <row r="83" spans="2:12">
      <c r="B83" s="2630" t="s">
        <v>505</v>
      </c>
      <c r="C83" s="2630" t="s">
        <v>509</v>
      </c>
      <c r="D83" s="2631" t="s">
        <v>513</v>
      </c>
      <c r="E83" s="2630" t="s">
        <v>514</v>
      </c>
      <c r="F83" s="2631"/>
      <c r="G83" s="2633"/>
      <c r="H83" s="2634">
        <v>0</v>
      </c>
      <c r="I83" s="2633"/>
      <c r="J83" s="2645">
        <v>1</v>
      </c>
      <c r="K83" s="2646">
        <f t="shared" si="3"/>
        <v>0</v>
      </c>
      <c r="L83" s="2602" t="s">
        <v>510</v>
      </c>
    </row>
    <row r="84" spans="2:12">
      <c r="B84" s="2630" t="s">
        <v>505</v>
      </c>
      <c r="C84" s="2630" t="s">
        <v>515</v>
      </c>
      <c r="D84" s="2631" t="s">
        <v>515</v>
      </c>
      <c r="E84" s="2632"/>
      <c r="F84" s="2631"/>
      <c r="G84" s="2633"/>
      <c r="H84" s="2634"/>
      <c r="I84" s="2633"/>
      <c r="J84" s="2645">
        <v>1</v>
      </c>
      <c r="K84" s="2646">
        <f t="shared" si="3"/>
        <v>0</v>
      </c>
      <c r="L84" s="2602" t="s">
        <v>510</v>
      </c>
    </row>
    <row r="85" spans="2:12">
      <c r="B85" s="2630" t="s">
        <v>505</v>
      </c>
      <c r="C85" s="2630" t="s">
        <v>515</v>
      </c>
      <c r="D85" s="2631" t="s">
        <v>516</v>
      </c>
      <c r="E85" s="2630" t="s">
        <v>512</v>
      </c>
      <c r="F85" s="2631"/>
      <c r="G85" s="2633"/>
      <c r="H85" s="2634">
        <v>0</v>
      </c>
      <c r="I85" s="2633"/>
      <c r="J85" s="2645">
        <v>1</v>
      </c>
      <c r="K85" s="2646">
        <f t="shared" si="3"/>
        <v>0</v>
      </c>
      <c r="L85" s="2602" t="s">
        <v>510</v>
      </c>
    </row>
    <row r="86" spans="2:12">
      <c r="B86" s="2630" t="s">
        <v>505</v>
      </c>
      <c r="C86" s="2630" t="s">
        <v>515</v>
      </c>
      <c r="D86" s="2631" t="s">
        <v>517</v>
      </c>
      <c r="E86" s="2630" t="s">
        <v>514</v>
      </c>
      <c r="F86" s="2631"/>
      <c r="G86" s="2633"/>
      <c r="H86" s="2634">
        <v>0</v>
      </c>
      <c r="I86" s="2633"/>
      <c r="J86" s="2645">
        <v>1</v>
      </c>
      <c r="K86" s="2646">
        <f t="shared" si="3"/>
        <v>0</v>
      </c>
      <c r="L86" s="2602" t="s">
        <v>510</v>
      </c>
    </row>
    <row r="87" spans="2:12">
      <c r="B87" s="2630" t="s">
        <v>505</v>
      </c>
      <c r="C87" s="2630" t="s">
        <v>518</v>
      </c>
      <c r="D87" s="2631" t="s">
        <v>519</v>
      </c>
      <c r="E87" s="2632"/>
      <c r="F87" s="2631"/>
      <c r="G87" s="2633"/>
      <c r="H87" s="2634"/>
      <c r="I87" s="2633"/>
      <c r="J87" s="2645">
        <v>1</v>
      </c>
      <c r="K87" s="2646">
        <f t="shared" si="3"/>
        <v>0</v>
      </c>
      <c r="L87" s="2602" t="s">
        <v>510</v>
      </c>
    </row>
    <row r="88" spans="2:12">
      <c r="B88" s="2630" t="s">
        <v>505</v>
      </c>
      <c r="C88" s="2630" t="s">
        <v>518</v>
      </c>
      <c r="D88" s="2631" t="s">
        <v>520</v>
      </c>
      <c r="E88" s="2632"/>
      <c r="F88" s="2631"/>
      <c r="G88" s="2633"/>
      <c r="H88" s="2634"/>
      <c r="I88" s="2633"/>
      <c r="J88" s="2645">
        <v>1</v>
      </c>
      <c r="K88" s="2646">
        <f t="shared" si="3"/>
        <v>0</v>
      </c>
      <c r="L88" s="2602" t="s">
        <v>510</v>
      </c>
    </row>
    <row r="89" spans="2:12">
      <c r="B89" s="2630" t="s">
        <v>505</v>
      </c>
      <c r="C89" s="2630" t="s">
        <v>518</v>
      </c>
      <c r="D89" s="2631" t="s">
        <v>518</v>
      </c>
      <c r="E89" s="2635"/>
      <c r="F89" s="2636" t="s">
        <v>521</v>
      </c>
      <c r="G89" s="2637"/>
      <c r="H89" s="2638">
        <v>1</v>
      </c>
      <c r="I89" s="2633"/>
      <c r="J89" s="2647">
        <v>1</v>
      </c>
      <c r="K89" s="2646">
        <f t="shared" si="3"/>
        <v>1</v>
      </c>
      <c r="L89" s="2602" t="s">
        <v>510</v>
      </c>
    </row>
    <row r="90" spans="2:12">
      <c r="B90" s="2630" t="s">
        <v>505</v>
      </c>
      <c r="C90" s="2630" t="s">
        <v>518</v>
      </c>
      <c r="D90" s="2631" t="s">
        <v>522</v>
      </c>
      <c r="E90" s="2632"/>
      <c r="F90" s="2631"/>
      <c r="G90" s="2633"/>
      <c r="H90" s="2634"/>
      <c r="I90" s="2633"/>
      <c r="J90" s="2645">
        <v>1</v>
      </c>
      <c r="K90" s="2646">
        <f t="shared" si="3"/>
        <v>0</v>
      </c>
      <c r="L90" s="2602" t="s">
        <v>510</v>
      </c>
    </row>
    <row r="91" spans="2:12">
      <c r="B91" s="2630" t="s">
        <v>505</v>
      </c>
      <c r="C91" s="2630" t="s">
        <v>518</v>
      </c>
      <c r="D91" s="2631" t="s">
        <v>523</v>
      </c>
      <c r="E91" s="2632"/>
      <c r="F91" s="2631"/>
      <c r="G91" s="2633"/>
      <c r="H91" s="2634"/>
      <c r="I91" s="2633"/>
      <c r="J91" s="2645">
        <v>1</v>
      </c>
      <c r="K91" s="2646">
        <f t="shared" si="3"/>
        <v>0</v>
      </c>
      <c r="L91" s="2602" t="s">
        <v>510</v>
      </c>
    </row>
    <row r="92" spans="2:12">
      <c r="B92" s="2630" t="s">
        <v>505</v>
      </c>
      <c r="C92" s="2630" t="s">
        <v>518</v>
      </c>
      <c r="D92" s="2631" t="s">
        <v>524</v>
      </c>
      <c r="E92" s="2632"/>
      <c r="F92" s="2631"/>
      <c r="G92" s="2633"/>
      <c r="H92" s="2634"/>
      <c r="I92" s="2633"/>
      <c r="J92" s="2645">
        <v>1</v>
      </c>
      <c r="K92" s="2646">
        <f t="shared" si="3"/>
        <v>0</v>
      </c>
      <c r="L92" s="2602" t="s">
        <v>510</v>
      </c>
    </row>
    <row r="93" spans="2:12">
      <c r="B93" s="2630" t="s">
        <v>505</v>
      </c>
      <c r="C93" s="2630" t="s">
        <v>518</v>
      </c>
      <c r="D93" s="2631" t="s">
        <v>525</v>
      </c>
      <c r="E93" s="2630" t="s">
        <v>512</v>
      </c>
      <c r="F93" s="2631"/>
      <c r="G93" s="2633"/>
      <c r="H93" s="2634">
        <v>0</v>
      </c>
      <c r="I93" s="2633"/>
      <c r="J93" s="2645">
        <v>1</v>
      </c>
      <c r="K93" s="2646">
        <f t="shared" si="3"/>
        <v>0</v>
      </c>
      <c r="L93" s="2602" t="s">
        <v>510</v>
      </c>
    </row>
    <row r="94" spans="2:12">
      <c r="B94" s="2630" t="s">
        <v>505</v>
      </c>
      <c r="C94" s="2630" t="s">
        <v>518</v>
      </c>
      <c r="D94" s="2631" t="s">
        <v>526</v>
      </c>
      <c r="E94" s="2630" t="s">
        <v>514</v>
      </c>
      <c r="F94" s="2631"/>
      <c r="G94" s="2633"/>
      <c r="H94" s="2634">
        <v>0</v>
      </c>
      <c r="I94" s="2633"/>
      <c r="J94" s="2645">
        <v>1</v>
      </c>
      <c r="K94" s="2646">
        <f t="shared" si="3"/>
        <v>0</v>
      </c>
      <c r="L94" s="2602" t="s">
        <v>510</v>
      </c>
    </row>
    <row r="95" spans="2:12">
      <c r="B95" s="2630" t="s">
        <v>505</v>
      </c>
      <c r="C95" s="2630" t="s">
        <v>518</v>
      </c>
      <c r="D95" s="2631" t="s">
        <v>527</v>
      </c>
      <c r="E95" s="2632"/>
      <c r="F95" s="2631"/>
      <c r="G95" s="2633"/>
      <c r="H95" s="2634">
        <v>1</v>
      </c>
      <c r="I95" s="2633"/>
      <c r="J95" s="2645">
        <v>1</v>
      </c>
      <c r="K95" s="2646">
        <f t="shared" si="3"/>
        <v>1</v>
      </c>
      <c r="L95" s="2602" t="s">
        <v>510</v>
      </c>
    </row>
    <row r="96" spans="2:12">
      <c r="B96" s="2630" t="s">
        <v>505</v>
      </c>
      <c r="C96" s="2630" t="s">
        <v>518</v>
      </c>
      <c r="D96" s="2631" t="s">
        <v>528</v>
      </c>
      <c r="E96" s="2630" t="s">
        <v>512</v>
      </c>
      <c r="F96" s="2631"/>
      <c r="G96" s="2633"/>
      <c r="H96" s="2634">
        <v>0</v>
      </c>
      <c r="I96" s="2633"/>
      <c r="J96" s="2645">
        <v>1</v>
      </c>
      <c r="K96" s="2646">
        <f t="shared" si="3"/>
        <v>0</v>
      </c>
      <c r="L96" s="2602" t="s">
        <v>510</v>
      </c>
    </row>
    <row r="97" spans="2:12">
      <c r="B97" s="2630" t="s">
        <v>505</v>
      </c>
      <c r="C97" s="2630" t="s">
        <v>518</v>
      </c>
      <c r="D97" s="2631" t="s">
        <v>529</v>
      </c>
      <c r="E97" s="2630" t="s">
        <v>514</v>
      </c>
      <c r="F97" s="2631"/>
      <c r="G97" s="2633"/>
      <c r="H97" s="2634">
        <v>0</v>
      </c>
      <c r="I97" s="2633"/>
      <c r="J97" s="2645">
        <v>1</v>
      </c>
      <c r="K97" s="2646">
        <f t="shared" si="3"/>
        <v>0</v>
      </c>
      <c r="L97" s="2602" t="s">
        <v>510</v>
      </c>
    </row>
    <row r="98" spans="2:12">
      <c r="B98" s="2630" t="s">
        <v>505</v>
      </c>
      <c r="C98" s="2630" t="s">
        <v>518</v>
      </c>
      <c r="D98" s="2631" t="s">
        <v>530</v>
      </c>
      <c r="E98" s="2632"/>
      <c r="F98" s="2631"/>
      <c r="G98" s="2633"/>
      <c r="H98" s="2634">
        <v>1</v>
      </c>
      <c r="I98" s="2633"/>
      <c r="J98" s="2645">
        <v>1</v>
      </c>
      <c r="K98" s="2646">
        <f t="shared" si="3"/>
        <v>1</v>
      </c>
      <c r="L98" s="2602" t="s">
        <v>510</v>
      </c>
    </row>
    <row r="99" spans="2:12">
      <c r="B99" s="2630" t="s">
        <v>505</v>
      </c>
      <c r="C99" s="2630" t="s">
        <v>518</v>
      </c>
      <c r="D99" s="2631" t="s">
        <v>531</v>
      </c>
      <c r="E99" s="2630" t="s">
        <v>512</v>
      </c>
      <c r="F99" s="2631"/>
      <c r="G99" s="2633"/>
      <c r="H99" s="2634">
        <v>0</v>
      </c>
      <c r="I99" s="2633"/>
      <c r="J99" s="2645">
        <v>1</v>
      </c>
      <c r="K99" s="2646">
        <f t="shared" si="3"/>
        <v>0</v>
      </c>
      <c r="L99" s="2602" t="s">
        <v>510</v>
      </c>
    </row>
    <row r="100" spans="2:12">
      <c r="B100" s="2630" t="s">
        <v>505</v>
      </c>
      <c r="C100" s="2630" t="s">
        <v>518</v>
      </c>
      <c r="D100" s="2631" t="s">
        <v>532</v>
      </c>
      <c r="E100" s="2630" t="s">
        <v>514</v>
      </c>
      <c r="F100" s="2631"/>
      <c r="G100" s="2633"/>
      <c r="H100" s="2634">
        <v>0</v>
      </c>
      <c r="I100" s="2633"/>
      <c r="J100" s="2645">
        <v>1</v>
      </c>
      <c r="K100" s="2646">
        <f t="shared" si="3"/>
        <v>0</v>
      </c>
      <c r="L100" s="2602" t="s">
        <v>510</v>
      </c>
    </row>
    <row r="101" spans="2:12">
      <c r="B101" s="2630" t="s">
        <v>505</v>
      </c>
      <c r="C101" s="2630" t="s">
        <v>518</v>
      </c>
      <c r="D101" s="2631" t="s">
        <v>533</v>
      </c>
      <c r="E101" s="2632"/>
      <c r="F101" s="2631"/>
      <c r="G101" s="2633"/>
      <c r="H101" s="2634">
        <v>1</v>
      </c>
      <c r="I101" s="2633"/>
      <c r="J101" s="2645">
        <v>1</v>
      </c>
      <c r="K101" s="2646">
        <f t="shared" si="3"/>
        <v>1</v>
      </c>
      <c r="L101" s="2602" t="s">
        <v>510</v>
      </c>
    </row>
    <row r="102" spans="2:12">
      <c r="B102" s="2630" t="s">
        <v>505</v>
      </c>
      <c r="C102" s="2630" t="s">
        <v>518</v>
      </c>
      <c r="D102" s="2631" t="s">
        <v>534</v>
      </c>
      <c r="E102" s="2630" t="s">
        <v>512</v>
      </c>
      <c r="F102" s="2631"/>
      <c r="G102" s="2633"/>
      <c r="H102" s="2634">
        <v>0</v>
      </c>
      <c r="I102" s="2633"/>
      <c r="J102" s="2645">
        <v>1</v>
      </c>
      <c r="K102" s="2646">
        <f t="shared" si="3"/>
        <v>0</v>
      </c>
      <c r="L102" s="2602" t="s">
        <v>510</v>
      </c>
    </row>
    <row r="103" spans="2:12">
      <c r="B103" s="2630" t="s">
        <v>505</v>
      </c>
      <c r="C103" s="2630" t="s">
        <v>518</v>
      </c>
      <c r="D103" s="2631" t="s">
        <v>535</v>
      </c>
      <c r="E103" s="2630" t="s">
        <v>514</v>
      </c>
      <c r="F103" s="2631"/>
      <c r="G103" s="2633"/>
      <c r="H103" s="2634">
        <v>0</v>
      </c>
      <c r="I103" s="2633"/>
      <c r="J103" s="2645">
        <v>1</v>
      </c>
      <c r="K103" s="2646">
        <f t="shared" si="3"/>
        <v>0</v>
      </c>
      <c r="L103" s="2602" t="s">
        <v>510</v>
      </c>
    </row>
    <row r="104" spans="2:12">
      <c r="B104" s="2630" t="s">
        <v>505</v>
      </c>
      <c r="C104" s="2630" t="s">
        <v>518</v>
      </c>
      <c r="D104" s="2631" t="s">
        <v>536</v>
      </c>
      <c r="E104" s="2632"/>
      <c r="F104" s="2633"/>
      <c r="G104" s="2633"/>
      <c r="H104" s="2634">
        <v>1</v>
      </c>
      <c r="I104" s="2633"/>
      <c r="J104" s="2645">
        <v>1</v>
      </c>
      <c r="K104" s="2646">
        <f t="shared" si="3"/>
        <v>1</v>
      </c>
      <c r="L104" s="2602" t="s">
        <v>510</v>
      </c>
    </row>
    <row r="105" spans="2:12">
      <c r="B105" s="2630" t="s">
        <v>505</v>
      </c>
      <c r="C105" s="2630" t="s">
        <v>518</v>
      </c>
      <c r="D105" s="2631" t="s">
        <v>537</v>
      </c>
      <c r="E105" s="2630" t="s">
        <v>512</v>
      </c>
      <c r="F105" s="2631"/>
      <c r="G105" s="2633"/>
      <c r="H105" s="2634">
        <v>0</v>
      </c>
      <c r="I105" s="2633"/>
      <c r="J105" s="2645">
        <v>1</v>
      </c>
      <c r="K105" s="2646">
        <f t="shared" si="3"/>
        <v>0</v>
      </c>
      <c r="L105" s="2602" t="s">
        <v>510</v>
      </c>
    </row>
    <row r="106" spans="2:12">
      <c r="B106" s="2630" t="s">
        <v>505</v>
      </c>
      <c r="C106" s="2630" t="s">
        <v>518</v>
      </c>
      <c r="D106" s="2631" t="s">
        <v>538</v>
      </c>
      <c r="E106" s="2630" t="s">
        <v>514</v>
      </c>
      <c r="F106" s="2631"/>
      <c r="G106" s="2633"/>
      <c r="H106" s="2634">
        <v>0</v>
      </c>
      <c r="I106" s="2633"/>
      <c r="J106" s="2645">
        <v>1</v>
      </c>
      <c r="K106" s="2646">
        <f t="shared" si="3"/>
        <v>0</v>
      </c>
      <c r="L106" s="2602" t="s">
        <v>510</v>
      </c>
    </row>
    <row r="107" spans="2:12">
      <c r="B107" s="2630" t="s">
        <v>505</v>
      </c>
      <c r="C107" s="2630" t="s">
        <v>518</v>
      </c>
      <c r="D107" s="2631" t="s">
        <v>539</v>
      </c>
      <c r="E107" s="2632"/>
      <c r="F107" s="2633"/>
      <c r="G107" s="2633"/>
      <c r="H107" s="2634">
        <v>1</v>
      </c>
      <c r="I107" s="2633"/>
      <c r="J107" s="2645">
        <v>1</v>
      </c>
      <c r="K107" s="2646">
        <f t="shared" si="3"/>
        <v>1</v>
      </c>
      <c r="L107" s="2602" t="s">
        <v>510</v>
      </c>
    </row>
    <row r="108" spans="2:12">
      <c r="B108" s="2630" t="s">
        <v>505</v>
      </c>
      <c r="C108" s="2630" t="s">
        <v>518</v>
      </c>
      <c r="D108" s="2631" t="s">
        <v>540</v>
      </c>
      <c r="E108" s="2630" t="s">
        <v>512</v>
      </c>
      <c r="F108" s="2631"/>
      <c r="G108" s="2633"/>
      <c r="H108" s="2634">
        <v>0</v>
      </c>
      <c r="I108" s="2633"/>
      <c r="J108" s="2645">
        <v>1</v>
      </c>
      <c r="K108" s="2646">
        <f t="shared" si="3"/>
        <v>0</v>
      </c>
      <c r="L108" s="2602" t="s">
        <v>510</v>
      </c>
    </row>
    <row r="109" spans="2:12">
      <c r="B109" s="2630" t="s">
        <v>505</v>
      </c>
      <c r="C109" s="2630" t="s">
        <v>518</v>
      </c>
      <c r="D109" s="2631" t="s">
        <v>541</v>
      </c>
      <c r="E109" s="2630" t="s">
        <v>514</v>
      </c>
      <c r="F109" s="2631"/>
      <c r="G109" s="2633"/>
      <c r="H109" s="2634">
        <v>0</v>
      </c>
      <c r="I109" s="2633"/>
      <c r="J109" s="2645">
        <v>1</v>
      </c>
      <c r="K109" s="2646">
        <f t="shared" si="3"/>
        <v>0</v>
      </c>
      <c r="L109" s="2602" t="s">
        <v>510</v>
      </c>
    </row>
    <row r="110" spans="2:12">
      <c r="B110" s="2630" t="s">
        <v>505</v>
      </c>
      <c r="C110" s="2630" t="s">
        <v>518</v>
      </c>
      <c r="D110" s="2631" t="s">
        <v>542</v>
      </c>
      <c r="E110" s="2632"/>
      <c r="F110" s="2631"/>
      <c r="G110" s="2633"/>
      <c r="H110" s="2634">
        <v>1</v>
      </c>
      <c r="I110" s="2633"/>
      <c r="J110" s="2645">
        <v>1</v>
      </c>
      <c r="K110" s="2646">
        <f t="shared" si="3"/>
        <v>1</v>
      </c>
      <c r="L110" s="2602" t="s">
        <v>510</v>
      </c>
    </row>
    <row r="111" spans="2:12">
      <c r="B111" s="2630" t="s">
        <v>505</v>
      </c>
      <c r="C111" s="2630" t="s">
        <v>518</v>
      </c>
      <c r="D111" s="2631" t="s">
        <v>543</v>
      </c>
      <c r="E111" s="2630" t="s">
        <v>512</v>
      </c>
      <c r="F111" s="2631"/>
      <c r="G111" s="2633"/>
      <c r="H111" s="2634">
        <v>0</v>
      </c>
      <c r="I111" s="2633"/>
      <c r="J111" s="2645">
        <v>1</v>
      </c>
      <c r="K111" s="2646">
        <f t="shared" si="3"/>
        <v>0</v>
      </c>
      <c r="L111" s="2602" t="s">
        <v>510</v>
      </c>
    </row>
    <row r="112" spans="2:12">
      <c r="B112" s="2630" t="s">
        <v>505</v>
      </c>
      <c r="C112" s="2630" t="s">
        <v>518</v>
      </c>
      <c r="D112" s="2631" t="s">
        <v>544</v>
      </c>
      <c r="E112" s="2630" t="s">
        <v>514</v>
      </c>
      <c r="F112" s="2631"/>
      <c r="G112" s="2633"/>
      <c r="H112" s="2634">
        <v>0</v>
      </c>
      <c r="I112" s="2633"/>
      <c r="J112" s="2645">
        <v>1</v>
      </c>
      <c r="K112" s="2646">
        <f t="shared" si="3"/>
        <v>0</v>
      </c>
      <c r="L112" s="2602" t="s">
        <v>510</v>
      </c>
    </row>
    <row r="113" spans="2:12">
      <c r="B113" s="2630" t="s">
        <v>505</v>
      </c>
      <c r="C113" s="2630" t="s">
        <v>518</v>
      </c>
      <c r="D113" s="2631" t="s">
        <v>545</v>
      </c>
      <c r="E113" s="2632"/>
      <c r="F113" s="2631"/>
      <c r="G113" s="2633"/>
      <c r="H113" s="2634"/>
      <c r="I113" s="2633"/>
      <c r="J113" s="2645">
        <v>1</v>
      </c>
      <c r="K113" s="2646">
        <f t="shared" si="3"/>
        <v>0</v>
      </c>
      <c r="L113" s="2602" t="s">
        <v>510</v>
      </c>
    </row>
    <row r="114" spans="2:12">
      <c r="B114" s="2630" t="s">
        <v>505</v>
      </c>
      <c r="C114" s="2630" t="s">
        <v>518</v>
      </c>
      <c r="D114" s="2631" t="s">
        <v>546</v>
      </c>
      <c r="E114" s="2630" t="s">
        <v>512</v>
      </c>
      <c r="F114" s="2631"/>
      <c r="G114" s="2633"/>
      <c r="H114" s="2634">
        <v>0</v>
      </c>
      <c r="I114" s="2633"/>
      <c r="J114" s="2645">
        <v>1</v>
      </c>
      <c r="K114" s="2646">
        <f t="shared" si="3"/>
        <v>0</v>
      </c>
      <c r="L114" s="2602" t="s">
        <v>510</v>
      </c>
    </row>
    <row r="115" spans="2:12">
      <c r="B115" s="2630" t="s">
        <v>505</v>
      </c>
      <c r="C115" s="2630" t="s">
        <v>518</v>
      </c>
      <c r="D115" s="2631" t="s">
        <v>547</v>
      </c>
      <c r="E115" s="2630" t="s">
        <v>514</v>
      </c>
      <c r="F115" s="2631"/>
      <c r="G115" s="2633"/>
      <c r="H115" s="2634">
        <v>0</v>
      </c>
      <c r="I115" s="2633"/>
      <c r="J115" s="2645">
        <v>1</v>
      </c>
      <c r="K115" s="2646">
        <f t="shared" si="3"/>
        <v>0</v>
      </c>
      <c r="L115" s="2602" t="s">
        <v>510</v>
      </c>
    </row>
    <row r="116" spans="2:12">
      <c r="B116" s="2630" t="s">
        <v>505</v>
      </c>
      <c r="C116" s="2630" t="s">
        <v>518</v>
      </c>
      <c r="D116" s="2631" t="s">
        <v>548</v>
      </c>
      <c r="E116" s="2632"/>
      <c r="F116" s="2631"/>
      <c r="G116" s="2633"/>
      <c r="H116" s="2634"/>
      <c r="I116" s="2633"/>
      <c r="J116" s="2645">
        <v>1</v>
      </c>
      <c r="K116" s="2646">
        <f t="shared" si="3"/>
        <v>0</v>
      </c>
      <c r="L116" s="2602" t="s">
        <v>510</v>
      </c>
    </row>
    <row r="117" spans="2:12">
      <c r="B117" s="2630" t="s">
        <v>505</v>
      </c>
      <c r="C117" s="2630" t="s">
        <v>518</v>
      </c>
      <c r="D117" s="2631" t="s">
        <v>549</v>
      </c>
      <c r="E117" s="2630" t="s">
        <v>512</v>
      </c>
      <c r="F117" s="2631"/>
      <c r="G117" s="2633"/>
      <c r="H117" s="2634">
        <v>0</v>
      </c>
      <c r="I117" s="2633"/>
      <c r="J117" s="2645">
        <v>1</v>
      </c>
      <c r="K117" s="2646">
        <f t="shared" si="3"/>
        <v>0</v>
      </c>
      <c r="L117" s="2602" t="s">
        <v>510</v>
      </c>
    </row>
    <row r="118" spans="2:12">
      <c r="B118" s="2630" t="s">
        <v>505</v>
      </c>
      <c r="C118" s="2630" t="s">
        <v>518</v>
      </c>
      <c r="D118" s="2631" t="s">
        <v>550</v>
      </c>
      <c r="E118" s="2630" t="s">
        <v>514</v>
      </c>
      <c r="F118" s="2631"/>
      <c r="G118" s="2633"/>
      <c r="H118" s="2634">
        <v>0</v>
      </c>
      <c r="I118" s="2633"/>
      <c r="J118" s="2645">
        <v>1</v>
      </c>
      <c r="K118" s="2646">
        <f t="shared" si="3"/>
        <v>0</v>
      </c>
      <c r="L118" s="2602" t="s">
        <v>510</v>
      </c>
    </row>
    <row r="119" spans="2:12">
      <c r="B119" s="2630" t="s">
        <v>505</v>
      </c>
      <c r="C119" s="2630" t="s">
        <v>518</v>
      </c>
      <c r="D119" s="2631" t="s">
        <v>551</v>
      </c>
      <c r="E119" s="2632"/>
      <c r="F119" s="2631"/>
      <c r="G119" s="2633"/>
      <c r="H119" s="2634"/>
      <c r="I119" s="2633"/>
      <c r="J119" s="2645">
        <v>1</v>
      </c>
      <c r="K119" s="2646">
        <f t="shared" si="3"/>
        <v>0</v>
      </c>
      <c r="L119" s="2602" t="s">
        <v>510</v>
      </c>
    </row>
    <row r="120" spans="2:12">
      <c r="B120" s="2630" t="s">
        <v>505</v>
      </c>
      <c r="C120" s="2630" t="s">
        <v>518</v>
      </c>
      <c r="D120" s="2631" t="s">
        <v>552</v>
      </c>
      <c r="E120" s="2630" t="s">
        <v>512</v>
      </c>
      <c r="F120" s="2631"/>
      <c r="G120" s="2633"/>
      <c r="H120" s="2634">
        <v>0</v>
      </c>
      <c r="I120" s="2633"/>
      <c r="J120" s="2645">
        <v>1</v>
      </c>
      <c r="K120" s="2646">
        <f t="shared" si="3"/>
        <v>0</v>
      </c>
      <c r="L120" s="2602" t="s">
        <v>510</v>
      </c>
    </row>
    <row r="121" spans="2:12">
      <c r="B121" s="2630" t="s">
        <v>505</v>
      </c>
      <c r="C121" s="2630" t="s">
        <v>518</v>
      </c>
      <c r="D121" s="2631" t="s">
        <v>553</v>
      </c>
      <c r="E121" s="2630" t="s">
        <v>514</v>
      </c>
      <c r="F121" s="2631"/>
      <c r="G121" s="2633"/>
      <c r="H121" s="2634">
        <v>0</v>
      </c>
      <c r="I121" s="2633"/>
      <c r="J121" s="2645">
        <v>1</v>
      </c>
      <c r="K121" s="2646">
        <f t="shared" si="3"/>
        <v>0</v>
      </c>
      <c r="L121" s="2602" t="s">
        <v>510</v>
      </c>
    </row>
    <row r="122" spans="2:12">
      <c r="B122" s="2630" t="s">
        <v>505</v>
      </c>
      <c r="C122" s="2630" t="s">
        <v>518</v>
      </c>
      <c r="D122" s="2631" t="s">
        <v>554</v>
      </c>
      <c r="E122" s="2632"/>
      <c r="F122" s="2631"/>
      <c r="G122" s="2633"/>
      <c r="H122" s="2634">
        <v>1</v>
      </c>
      <c r="I122" s="2633"/>
      <c r="J122" s="2645">
        <v>1</v>
      </c>
      <c r="K122" s="2646">
        <f t="shared" si="3"/>
        <v>1</v>
      </c>
      <c r="L122" s="2602" t="s">
        <v>510</v>
      </c>
    </row>
    <row r="123" spans="2:12">
      <c r="B123" s="2630" t="s">
        <v>505</v>
      </c>
      <c r="C123" s="2630" t="s">
        <v>518</v>
      </c>
      <c r="D123" s="2631" t="s">
        <v>555</v>
      </c>
      <c r="E123" s="2630" t="s">
        <v>512</v>
      </c>
      <c r="F123" s="2631"/>
      <c r="G123" s="2633"/>
      <c r="H123" s="2634">
        <v>0</v>
      </c>
      <c r="I123" s="2633"/>
      <c r="J123" s="2645">
        <v>1</v>
      </c>
      <c r="K123" s="2646">
        <f t="shared" si="3"/>
        <v>0</v>
      </c>
      <c r="L123" s="2602" t="s">
        <v>510</v>
      </c>
    </row>
    <row r="124" spans="2:12">
      <c r="B124" s="2630" t="s">
        <v>505</v>
      </c>
      <c r="C124" s="2630" t="s">
        <v>518</v>
      </c>
      <c r="D124" s="2631" t="s">
        <v>556</v>
      </c>
      <c r="E124" s="2630" t="s">
        <v>514</v>
      </c>
      <c r="F124" s="2631"/>
      <c r="G124" s="2633"/>
      <c r="H124" s="2634">
        <v>0</v>
      </c>
      <c r="I124" s="2633"/>
      <c r="J124" s="2645">
        <v>1</v>
      </c>
      <c r="K124" s="2646">
        <f t="shared" si="3"/>
        <v>0</v>
      </c>
      <c r="L124" s="2602" t="s">
        <v>510</v>
      </c>
    </row>
    <row r="125" spans="2:12">
      <c r="B125" s="2630" t="s">
        <v>505</v>
      </c>
      <c r="C125" s="2630" t="s">
        <v>518</v>
      </c>
      <c r="D125" s="2631" t="s">
        <v>557</v>
      </c>
      <c r="E125" s="2632"/>
      <c r="F125" s="2631"/>
      <c r="G125" s="2633"/>
      <c r="H125" s="2634">
        <v>1</v>
      </c>
      <c r="I125" s="2633"/>
      <c r="J125" s="2645">
        <v>1</v>
      </c>
      <c r="K125" s="2646">
        <f t="shared" si="3"/>
        <v>1</v>
      </c>
      <c r="L125" s="2602" t="s">
        <v>510</v>
      </c>
    </row>
    <row r="126" spans="2:12">
      <c r="B126" s="2630" t="s">
        <v>505</v>
      </c>
      <c r="C126" s="2630" t="s">
        <v>518</v>
      </c>
      <c r="D126" s="2631" t="s">
        <v>558</v>
      </c>
      <c r="E126" s="2630" t="s">
        <v>512</v>
      </c>
      <c r="F126" s="2631"/>
      <c r="G126" s="2633"/>
      <c r="H126" s="2634">
        <v>0</v>
      </c>
      <c r="I126" s="2633"/>
      <c r="J126" s="2645">
        <v>1</v>
      </c>
      <c r="K126" s="2646">
        <f t="shared" si="3"/>
        <v>0</v>
      </c>
      <c r="L126" s="2602" t="s">
        <v>510</v>
      </c>
    </row>
    <row r="127" spans="2:12">
      <c r="B127" s="2630" t="s">
        <v>505</v>
      </c>
      <c r="C127" s="2630" t="s">
        <v>518</v>
      </c>
      <c r="D127" s="2631" t="s">
        <v>559</v>
      </c>
      <c r="E127" s="2630" t="s">
        <v>514</v>
      </c>
      <c r="F127" s="2631"/>
      <c r="G127" s="2633"/>
      <c r="H127" s="2634">
        <v>0</v>
      </c>
      <c r="I127" s="2633"/>
      <c r="J127" s="2645">
        <v>1</v>
      </c>
      <c r="K127" s="2646">
        <f t="shared" si="3"/>
        <v>0</v>
      </c>
      <c r="L127" s="2602" t="s">
        <v>510</v>
      </c>
    </row>
    <row r="128" spans="2:12">
      <c r="B128" s="2630" t="s">
        <v>505</v>
      </c>
      <c r="C128" s="2630" t="s">
        <v>518</v>
      </c>
      <c r="D128" s="2631" t="s">
        <v>560</v>
      </c>
      <c r="E128" s="2632"/>
      <c r="F128" s="2631"/>
      <c r="G128" s="2633"/>
      <c r="H128" s="2634">
        <v>1</v>
      </c>
      <c r="I128" s="2633"/>
      <c r="J128" s="2645">
        <v>1</v>
      </c>
      <c r="K128" s="2646">
        <f t="shared" si="3"/>
        <v>1</v>
      </c>
      <c r="L128" s="2602" t="s">
        <v>510</v>
      </c>
    </row>
    <row r="129" spans="2:12">
      <c r="B129" s="2630" t="s">
        <v>505</v>
      </c>
      <c r="C129" s="2630" t="s">
        <v>518</v>
      </c>
      <c r="D129" s="2631" t="s">
        <v>561</v>
      </c>
      <c r="E129" s="2630" t="s">
        <v>512</v>
      </c>
      <c r="F129" s="2631"/>
      <c r="G129" s="2633"/>
      <c r="H129" s="2634">
        <v>0</v>
      </c>
      <c r="I129" s="2633"/>
      <c r="J129" s="2645">
        <v>1</v>
      </c>
      <c r="K129" s="2646">
        <f t="shared" si="3"/>
        <v>0</v>
      </c>
      <c r="L129" s="2602" t="s">
        <v>510</v>
      </c>
    </row>
    <row r="130" spans="2:12">
      <c r="B130" s="2630" t="s">
        <v>505</v>
      </c>
      <c r="C130" s="2630" t="s">
        <v>518</v>
      </c>
      <c r="D130" s="2631" t="s">
        <v>562</v>
      </c>
      <c r="E130" s="2630" t="s">
        <v>514</v>
      </c>
      <c r="F130" s="2631"/>
      <c r="G130" s="2633"/>
      <c r="H130" s="2634">
        <v>0</v>
      </c>
      <c r="I130" s="2633"/>
      <c r="J130" s="2645">
        <v>1</v>
      </c>
      <c r="K130" s="2646">
        <f t="shared" si="3"/>
        <v>0</v>
      </c>
      <c r="L130" s="2602" t="s">
        <v>510</v>
      </c>
    </row>
    <row r="131" spans="2:12">
      <c r="B131" s="2630" t="s">
        <v>505</v>
      </c>
      <c r="C131" s="2630" t="s">
        <v>518</v>
      </c>
      <c r="D131" s="2631" t="s">
        <v>563</v>
      </c>
      <c r="E131" s="2632"/>
      <c r="F131" s="2631"/>
      <c r="G131" s="2633"/>
      <c r="H131" s="2634"/>
      <c r="I131" s="2633"/>
      <c r="J131" s="2645">
        <v>1</v>
      </c>
      <c r="K131" s="2646">
        <f t="shared" si="3"/>
        <v>0</v>
      </c>
      <c r="L131" s="2602" t="s">
        <v>510</v>
      </c>
    </row>
    <row r="132" spans="2:12">
      <c r="B132" s="2630" t="s">
        <v>505</v>
      </c>
      <c r="C132" s="2630" t="s">
        <v>518</v>
      </c>
      <c r="D132" s="2631" t="s">
        <v>564</v>
      </c>
      <c r="E132" s="2630" t="s">
        <v>512</v>
      </c>
      <c r="F132" s="2631"/>
      <c r="G132" s="2633"/>
      <c r="H132" s="2634">
        <v>0</v>
      </c>
      <c r="I132" s="2633"/>
      <c r="J132" s="2645">
        <v>1</v>
      </c>
      <c r="K132" s="2646">
        <f t="shared" si="3"/>
        <v>0</v>
      </c>
      <c r="L132" s="2602" t="s">
        <v>510</v>
      </c>
    </row>
    <row r="133" spans="2:12">
      <c r="B133" s="2630" t="s">
        <v>505</v>
      </c>
      <c r="C133" s="2630" t="s">
        <v>518</v>
      </c>
      <c r="D133" s="2631" t="s">
        <v>565</v>
      </c>
      <c r="E133" s="2630" t="s">
        <v>514</v>
      </c>
      <c r="F133" s="2631"/>
      <c r="G133" s="2633"/>
      <c r="H133" s="2634">
        <v>0</v>
      </c>
      <c r="I133" s="2633"/>
      <c r="J133" s="2645">
        <v>1</v>
      </c>
      <c r="K133" s="2646">
        <f t="shared" si="3"/>
        <v>0</v>
      </c>
      <c r="L133" s="2602" t="s">
        <v>510</v>
      </c>
    </row>
    <row r="134" spans="2:12">
      <c r="B134" s="2630" t="s">
        <v>505</v>
      </c>
      <c r="C134" s="2630" t="s">
        <v>518</v>
      </c>
      <c r="D134" s="2631" t="s">
        <v>566</v>
      </c>
      <c r="E134" s="2632"/>
      <c r="F134" s="2631"/>
      <c r="G134" s="2633" t="s">
        <v>567</v>
      </c>
      <c r="H134" s="2634"/>
      <c r="I134" s="2633"/>
      <c r="J134" s="2645">
        <v>1</v>
      </c>
      <c r="K134" s="2646">
        <f t="shared" si="3"/>
        <v>0</v>
      </c>
      <c r="L134" s="2602" t="s">
        <v>510</v>
      </c>
    </row>
    <row r="135" spans="2:12">
      <c r="B135" s="2630" t="s">
        <v>505</v>
      </c>
      <c r="C135" s="2630" t="s">
        <v>518</v>
      </c>
      <c r="D135" s="2631" t="s">
        <v>568</v>
      </c>
      <c r="E135" s="2632"/>
      <c r="F135" s="2631"/>
      <c r="G135" s="2633" t="s">
        <v>567</v>
      </c>
      <c r="H135" s="2634"/>
      <c r="I135" s="2633"/>
      <c r="J135" s="2645">
        <v>1</v>
      </c>
      <c r="K135" s="2646">
        <f t="shared" si="3"/>
        <v>0</v>
      </c>
      <c r="L135" s="2602" t="s">
        <v>510</v>
      </c>
    </row>
    <row r="136" spans="2:12">
      <c r="B136" s="2630" t="s">
        <v>505</v>
      </c>
      <c r="C136" s="2630" t="s">
        <v>518</v>
      </c>
      <c r="D136" s="2631" t="s">
        <v>569</v>
      </c>
      <c r="E136" s="2632"/>
      <c r="F136" s="2631"/>
      <c r="G136" s="2633" t="s">
        <v>567</v>
      </c>
      <c r="H136" s="2634"/>
      <c r="I136" s="2633"/>
      <c r="J136" s="2645">
        <v>1</v>
      </c>
      <c r="K136" s="2646">
        <f t="shared" si="3"/>
        <v>0</v>
      </c>
      <c r="L136" s="2602" t="s">
        <v>510</v>
      </c>
    </row>
    <row r="137" spans="2:12">
      <c r="B137" s="2630" t="s">
        <v>505</v>
      </c>
      <c r="C137" s="2630" t="s">
        <v>518</v>
      </c>
      <c r="D137" s="2631" t="s">
        <v>570</v>
      </c>
      <c r="E137" s="2632"/>
      <c r="F137" s="2631"/>
      <c r="G137" s="2633" t="s">
        <v>567</v>
      </c>
      <c r="H137" s="2634"/>
      <c r="I137" s="2633"/>
      <c r="J137" s="2645">
        <v>1</v>
      </c>
      <c r="K137" s="2646">
        <f t="shared" ref="K137:K146" si="4">H137/J137</f>
        <v>0</v>
      </c>
      <c r="L137" s="2602" t="s">
        <v>510</v>
      </c>
    </row>
    <row r="138" spans="2:12">
      <c r="B138" s="2630" t="s">
        <v>505</v>
      </c>
      <c r="C138" s="2630" t="s">
        <v>518</v>
      </c>
      <c r="D138" s="2631" t="s">
        <v>571</v>
      </c>
      <c r="E138" s="2632"/>
      <c r="F138" s="2631"/>
      <c r="G138" s="2633" t="s">
        <v>567</v>
      </c>
      <c r="H138" s="2634"/>
      <c r="I138" s="2633"/>
      <c r="J138" s="2645">
        <v>1</v>
      </c>
      <c r="K138" s="2646">
        <f t="shared" si="4"/>
        <v>0</v>
      </c>
      <c r="L138" s="2602" t="s">
        <v>510</v>
      </c>
    </row>
    <row r="139" spans="2:12">
      <c r="B139" s="2630" t="s">
        <v>505</v>
      </c>
      <c r="C139" s="2630" t="s">
        <v>518</v>
      </c>
      <c r="D139" s="2631" t="s">
        <v>572</v>
      </c>
      <c r="E139" s="2632"/>
      <c r="F139" s="2631"/>
      <c r="G139" s="2633" t="s">
        <v>567</v>
      </c>
      <c r="H139" s="2634"/>
      <c r="I139" s="2633"/>
      <c r="J139" s="2645">
        <v>1</v>
      </c>
      <c r="K139" s="2646">
        <f t="shared" si="4"/>
        <v>0</v>
      </c>
      <c r="L139" s="2602" t="s">
        <v>510</v>
      </c>
    </row>
    <row r="140" spans="2:12">
      <c r="B140" s="2630" t="s">
        <v>505</v>
      </c>
      <c r="C140" s="2630" t="s">
        <v>518</v>
      </c>
      <c r="D140" s="2631" t="s">
        <v>573</v>
      </c>
      <c r="E140" s="2632"/>
      <c r="F140" s="2631"/>
      <c r="G140" s="2633" t="s">
        <v>567</v>
      </c>
      <c r="H140" s="2634"/>
      <c r="I140" s="2633"/>
      <c r="J140" s="2645">
        <v>1</v>
      </c>
      <c r="K140" s="2646">
        <f t="shared" si="4"/>
        <v>0</v>
      </c>
      <c r="L140" s="2602" t="s">
        <v>510</v>
      </c>
    </row>
    <row r="141" spans="2:12">
      <c r="B141" s="2630" t="s">
        <v>505</v>
      </c>
      <c r="C141" s="2630" t="s">
        <v>518</v>
      </c>
      <c r="D141" s="2631" t="s">
        <v>574</v>
      </c>
      <c r="E141" s="2632"/>
      <c r="F141" s="2631"/>
      <c r="G141" s="2633" t="s">
        <v>567</v>
      </c>
      <c r="H141" s="2634"/>
      <c r="I141" s="2633"/>
      <c r="J141" s="2645">
        <v>1</v>
      </c>
      <c r="K141" s="2646">
        <f t="shared" si="4"/>
        <v>0</v>
      </c>
      <c r="L141" s="2602" t="s">
        <v>510</v>
      </c>
    </row>
    <row r="142" spans="2:12">
      <c r="B142" s="2630" t="s">
        <v>505</v>
      </c>
      <c r="C142" s="2630" t="s">
        <v>518</v>
      </c>
      <c r="D142" s="2631" t="s">
        <v>575</v>
      </c>
      <c r="E142" s="2632"/>
      <c r="F142" s="2631"/>
      <c r="G142" s="2633" t="s">
        <v>567</v>
      </c>
      <c r="H142" s="2634"/>
      <c r="I142" s="2633"/>
      <c r="J142" s="2645">
        <v>1</v>
      </c>
      <c r="K142" s="2646">
        <f t="shared" si="4"/>
        <v>0</v>
      </c>
      <c r="L142" s="2602" t="s">
        <v>510</v>
      </c>
    </row>
    <row r="143" spans="2:12">
      <c r="B143" s="2630" t="s">
        <v>505</v>
      </c>
      <c r="C143" s="2630" t="s">
        <v>518</v>
      </c>
      <c r="D143" s="2631" t="s">
        <v>420</v>
      </c>
      <c r="E143" s="2632"/>
      <c r="F143" s="2631"/>
      <c r="G143" s="2633" t="s">
        <v>576</v>
      </c>
      <c r="H143" s="2634"/>
      <c r="I143" s="2633"/>
      <c r="J143" s="2645">
        <v>1</v>
      </c>
      <c r="K143" s="2646">
        <f t="shared" si="4"/>
        <v>0</v>
      </c>
      <c r="L143" s="2602" t="s">
        <v>510</v>
      </c>
    </row>
    <row r="144" spans="2:12">
      <c r="B144" s="2630" t="s">
        <v>505</v>
      </c>
      <c r="C144" s="2630" t="s">
        <v>518</v>
      </c>
      <c r="D144" s="2631" t="s">
        <v>577</v>
      </c>
      <c r="E144" s="2632"/>
      <c r="F144" s="2631"/>
      <c r="G144" s="2633" t="s">
        <v>578</v>
      </c>
      <c r="H144" s="2634">
        <v>1</v>
      </c>
      <c r="I144" s="2633"/>
      <c r="J144" s="2645">
        <v>1</v>
      </c>
      <c r="K144" s="2646">
        <f t="shared" si="4"/>
        <v>1</v>
      </c>
      <c r="L144" s="2602" t="s">
        <v>510</v>
      </c>
    </row>
    <row r="145" spans="2:12">
      <c r="B145" s="2630" t="s">
        <v>505</v>
      </c>
      <c r="C145" s="2630" t="s">
        <v>501</v>
      </c>
      <c r="D145" s="2631" t="s">
        <v>579</v>
      </c>
      <c r="E145" s="2632"/>
      <c r="F145" s="2631"/>
      <c r="G145" s="2633"/>
      <c r="H145" s="2634"/>
      <c r="I145" s="2633"/>
      <c r="J145" s="2645">
        <v>1</v>
      </c>
      <c r="K145" s="2646">
        <f t="shared" si="4"/>
        <v>0</v>
      </c>
      <c r="L145" s="2602" t="s">
        <v>510</v>
      </c>
    </row>
    <row r="146" spans="2:12">
      <c r="B146" s="2648" t="s">
        <v>505</v>
      </c>
      <c r="C146" s="2648" t="s">
        <v>580</v>
      </c>
      <c r="D146" s="2649" t="s">
        <v>580</v>
      </c>
      <c r="E146" s="2650"/>
      <c r="F146" s="2649" t="s">
        <v>521</v>
      </c>
      <c r="G146" s="2651" t="s">
        <v>581</v>
      </c>
      <c r="H146" s="2652">
        <v>1</v>
      </c>
      <c r="I146" s="2668"/>
      <c r="J146" s="2669">
        <v>1</v>
      </c>
      <c r="K146" s="2670">
        <f t="shared" si="4"/>
        <v>1</v>
      </c>
      <c r="L146" s="2671" t="s">
        <v>582</v>
      </c>
    </row>
    <row r="147" ht="26.4" spans="2:12">
      <c r="B147" s="2653" t="s">
        <v>505</v>
      </c>
      <c r="C147" s="2653" t="s">
        <v>583</v>
      </c>
      <c r="D147" s="2654" t="s">
        <v>584</v>
      </c>
      <c r="E147" s="2655"/>
      <c r="F147" s="2656" t="s">
        <v>585</v>
      </c>
      <c r="G147" s="2541" t="str">
        <f>亮度與BLU功耗!E10</f>
        <v>3006(YAG-展晶)-2.9V MAX-無Zener</v>
      </c>
      <c r="H147" s="2657">
        <v>1</v>
      </c>
      <c r="I147" s="2657"/>
      <c r="J147" s="2657">
        <v>1</v>
      </c>
      <c r="K147" s="2657">
        <v>0</v>
      </c>
      <c r="L147" s="2671" t="s">
        <v>582</v>
      </c>
    </row>
    <row r="148" spans="2:12">
      <c r="B148" s="2658"/>
      <c r="C148" s="2658"/>
      <c r="D148" s="2654" t="s">
        <v>586</v>
      </c>
      <c r="E148" s="2655"/>
      <c r="F148" s="2656" t="s">
        <v>587</v>
      </c>
      <c r="G148" s="2541">
        <f>亮度與BLU功耗!E20</f>
        <v>8.75</v>
      </c>
      <c r="H148" s="2659"/>
      <c r="I148" s="2659"/>
      <c r="J148" s="2659"/>
      <c r="K148" s="2659"/>
      <c r="L148" s="2671" t="s">
        <v>582</v>
      </c>
    </row>
    <row r="149" spans="2:12">
      <c r="B149" s="2658"/>
      <c r="C149" s="2658"/>
      <c r="D149" s="2654" t="s">
        <v>588</v>
      </c>
      <c r="E149" s="2655"/>
      <c r="F149" s="2656"/>
      <c r="G149" s="2541">
        <f>亮度與BLU功耗!E14</f>
        <v>55</v>
      </c>
      <c r="H149" s="2659"/>
      <c r="I149" s="2659"/>
      <c r="J149" s="2659"/>
      <c r="K149" s="2659"/>
      <c r="L149" s="2671" t="s">
        <v>582</v>
      </c>
    </row>
    <row r="150" spans="2:12">
      <c r="B150" s="2658"/>
      <c r="C150" s="2658"/>
      <c r="D150" s="2654" t="s">
        <v>71</v>
      </c>
      <c r="E150" s="2655"/>
      <c r="F150" s="2656"/>
      <c r="G150" s="2541">
        <f>亮度與BLU功耗!E21</f>
        <v>22</v>
      </c>
      <c r="H150" s="2659"/>
      <c r="I150" s="2659"/>
      <c r="J150" s="2659"/>
      <c r="K150" s="2659"/>
      <c r="L150" s="2671" t="s">
        <v>582</v>
      </c>
    </row>
    <row r="151" spans="2:12">
      <c r="B151" s="2658"/>
      <c r="C151" s="2658"/>
      <c r="D151" s="2654" t="s">
        <v>589</v>
      </c>
      <c r="E151" s="2655"/>
      <c r="F151" s="2656"/>
      <c r="G151" s="2541">
        <f>亮度與BLU功耗!E22</f>
        <v>2.93</v>
      </c>
      <c r="H151" s="2659"/>
      <c r="I151" s="2659"/>
      <c r="J151" s="2659"/>
      <c r="K151" s="2659"/>
      <c r="L151" s="2671" t="s">
        <v>582</v>
      </c>
    </row>
    <row r="152" spans="2:12">
      <c r="B152" s="2658"/>
      <c r="C152" s="2658"/>
      <c r="D152" s="2654" t="s">
        <v>590</v>
      </c>
      <c r="E152" s="2655"/>
      <c r="F152" s="2656"/>
      <c r="G152" s="2541">
        <f>亮度與BLU功耗!E19</f>
        <v>12</v>
      </c>
      <c r="H152" s="2659"/>
      <c r="I152" s="2659"/>
      <c r="J152" s="2659"/>
      <c r="K152" s="2659"/>
      <c r="L152" s="2671" t="s">
        <v>582</v>
      </c>
    </row>
    <row r="153" spans="2:12">
      <c r="B153" s="2658"/>
      <c r="C153" s="2658"/>
      <c r="D153" s="2654" t="s">
        <v>591</v>
      </c>
      <c r="E153" s="2655"/>
      <c r="F153" s="2656"/>
      <c r="G153" s="2660">
        <f>亮度與BLU功耗!E37+Bent方程式!D49+Bent方程式!D70</f>
        <v>346.52</v>
      </c>
      <c r="H153" s="2659"/>
      <c r="I153" s="2659"/>
      <c r="J153" s="2659"/>
      <c r="K153" s="2659"/>
      <c r="L153" s="2671" t="s">
        <v>582</v>
      </c>
    </row>
    <row r="154" ht="26.4" spans="2:12">
      <c r="B154" s="2658"/>
      <c r="C154" s="2658"/>
      <c r="D154" s="2654" t="s">
        <v>592</v>
      </c>
      <c r="E154" s="2655"/>
      <c r="F154" s="2656"/>
      <c r="G154" s="2660">
        <f>亮度與BLU功耗!J30+0.1+'Thickness &amp; Weight'!C17+'Thickness &amp; Weight'!C22+Outline_X_and_Y!R40+'Thickness &amp; Weight'!U11+3.3</f>
        <v>24.428</v>
      </c>
      <c r="H154" s="2659"/>
      <c r="I154" s="2659"/>
      <c r="J154" s="2659"/>
      <c r="K154" s="2659"/>
      <c r="L154" s="2671" t="s">
        <v>582</v>
      </c>
    </row>
    <row r="155" spans="2:12">
      <c r="B155" s="2661"/>
      <c r="C155" s="2661"/>
      <c r="D155" s="2654" t="s">
        <v>593</v>
      </c>
      <c r="E155" s="2655"/>
      <c r="F155" s="2656"/>
      <c r="G155" s="2662" t="s">
        <v>594</v>
      </c>
      <c r="H155" s="2663"/>
      <c r="I155" s="2663"/>
      <c r="J155" s="2663"/>
      <c r="K155" s="2663"/>
      <c r="L155" s="2671" t="s">
        <v>582</v>
      </c>
    </row>
    <row r="156" spans="2:12">
      <c r="B156" s="2653" t="s">
        <v>505</v>
      </c>
      <c r="C156" s="2653" t="s">
        <v>595</v>
      </c>
      <c r="D156" s="2664" t="s">
        <v>596</v>
      </c>
      <c r="E156" s="2655"/>
      <c r="F156" s="2656"/>
      <c r="G156" s="2541" t="str">
        <f>'Thickness &amp; Weight'!W18</f>
        <v>DA01-H38</v>
      </c>
      <c r="H156" s="2657">
        <v>1</v>
      </c>
      <c r="I156" s="2657"/>
      <c r="J156" s="2657">
        <v>1</v>
      </c>
      <c r="K156" s="2657">
        <v>0</v>
      </c>
      <c r="L156" s="2671" t="s">
        <v>582</v>
      </c>
    </row>
    <row r="157" spans="2:12">
      <c r="B157" s="2658"/>
      <c r="C157" s="2658"/>
      <c r="D157" s="2664" t="s">
        <v>96</v>
      </c>
      <c r="E157" s="2655"/>
      <c r="F157" s="2656"/>
      <c r="G157" s="2541">
        <f>'Thickness &amp; Weight'!C17</f>
        <v>0.25</v>
      </c>
      <c r="H157" s="2659"/>
      <c r="I157" s="2659"/>
      <c r="J157" s="2659"/>
      <c r="K157" s="2659"/>
      <c r="L157" s="2671" t="s">
        <v>582</v>
      </c>
    </row>
    <row r="158" spans="2:12">
      <c r="B158" s="2658"/>
      <c r="C158" s="2658"/>
      <c r="D158" s="2664" t="s">
        <v>597</v>
      </c>
      <c r="E158" s="2655"/>
      <c r="F158" s="2656"/>
      <c r="G158" s="2660">
        <f>'Thickness &amp; Weight'!V18</f>
        <v>51.46665243984</v>
      </c>
      <c r="H158" s="2659"/>
      <c r="I158" s="2659"/>
      <c r="J158" s="2659"/>
      <c r="K158" s="2659"/>
      <c r="L158" s="2671" t="s">
        <v>582</v>
      </c>
    </row>
    <row r="159" spans="2:12">
      <c r="B159" s="2658"/>
      <c r="C159" s="2658"/>
      <c r="D159" s="2664" t="s">
        <v>598</v>
      </c>
      <c r="E159" s="2655"/>
      <c r="F159" s="2656"/>
      <c r="G159" s="2660">
        <f>'Thickness &amp; Weight'!V19</f>
        <v>-1.65</v>
      </c>
      <c r="H159" s="2659"/>
      <c r="I159" s="2659"/>
      <c r="J159" s="2659"/>
      <c r="K159" s="2659"/>
      <c r="L159" s="2671" t="s">
        <v>582</v>
      </c>
    </row>
    <row r="160" spans="2:12">
      <c r="B160" s="2658"/>
      <c r="C160" s="2658"/>
      <c r="D160" s="2664" t="s">
        <v>599</v>
      </c>
      <c r="E160" s="2655"/>
      <c r="F160" s="2656"/>
      <c r="G160" s="2541" t="str">
        <f>Outline_X_and_Y!G5&amp;"/"&amp;Outline_X_and_Y!G18&amp;"/"&amp;Outline_X_and_Y!O5&amp;"/单折"</f>
        <v>单折/双折/单折/单折</v>
      </c>
      <c r="H160" s="2659"/>
      <c r="I160" s="2659"/>
      <c r="J160" s="2659"/>
      <c r="K160" s="2659"/>
      <c r="L160" s="2671" t="s">
        <v>582</v>
      </c>
    </row>
    <row r="161" spans="2:12">
      <c r="B161" s="2658"/>
      <c r="C161" s="2658"/>
      <c r="D161" s="2664" t="s">
        <v>600</v>
      </c>
      <c r="E161" s="2655"/>
      <c r="F161" s="2656"/>
      <c r="G161" s="2541" t="str">
        <f>IF(OR('Thickness &amp; Weight'!C18&gt;0,'Thickness &amp; Weight'!I15&gt;0),"有Punch","无Punch")</f>
        <v>有Punch</v>
      </c>
      <c r="H161" s="2659"/>
      <c r="I161" s="2659"/>
      <c r="J161" s="2659"/>
      <c r="K161" s="2659"/>
      <c r="L161" s="2671" t="s">
        <v>582</v>
      </c>
    </row>
    <row r="162" spans="2:12">
      <c r="B162" s="2658"/>
      <c r="C162" s="2658"/>
      <c r="D162" s="2664" t="s">
        <v>601</v>
      </c>
      <c r="E162" s="2655"/>
      <c r="F162" s="2656"/>
      <c r="G162" s="2662" t="s">
        <v>602</v>
      </c>
      <c r="H162" s="2659"/>
      <c r="I162" s="2659"/>
      <c r="J162" s="2659"/>
      <c r="K162" s="2659"/>
      <c r="L162" s="2671" t="s">
        <v>582</v>
      </c>
    </row>
    <row r="163" spans="2:12">
      <c r="B163" s="2658"/>
      <c r="C163" s="2658"/>
      <c r="D163" s="2664" t="s">
        <v>603</v>
      </c>
      <c r="E163" s="2655"/>
      <c r="F163" s="2656"/>
      <c r="G163" s="2541" t="s">
        <v>594</v>
      </c>
      <c r="H163" s="2659"/>
      <c r="I163" s="2659"/>
      <c r="J163" s="2659"/>
      <c r="K163" s="2659"/>
      <c r="L163" s="2671" t="s">
        <v>582</v>
      </c>
    </row>
    <row r="164" spans="2:12">
      <c r="B164" s="2661"/>
      <c r="C164" s="2661"/>
      <c r="D164" s="2664" t="s">
        <v>604</v>
      </c>
      <c r="E164" s="2655"/>
      <c r="F164" s="2656"/>
      <c r="G164" s="2662" t="s">
        <v>594</v>
      </c>
      <c r="H164" s="2663"/>
      <c r="I164" s="2663"/>
      <c r="J164" s="2663"/>
      <c r="K164" s="2663"/>
      <c r="L164" s="2671" t="s">
        <v>582</v>
      </c>
    </row>
    <row r="165" ht="26.4" spans="2:12">
      <c r="B165" s="2658" t="s">
        <v>505</v>
      </c>
      <c r="C165" s="2653" t="s">
        <v>605</v>
      </c>
      <c r="D165" s="2654" t="s">
        <v>606</v>
      </c>
      <c r="E165" s="2655"/>
      <c r="F165" s="2656"/>
      <c r="G165" s="2541" t="str">
        <f>亮度與BLU功耗!F34</f>
        <v>热压PMMA</v>
      </c>
      <c r="H165" s="2659">
        <v>1</v>
      </c>
      <c r="I165" s="2659"/>
      <c r="J165" s="2659">
        <v>1</v>
      </c>
      <c r="K165" s="2659">
        <v>0</v>
      </c>
      <c r="L165" s="2671" t="s">
        <v>582</v>
      </c>
    </row>
    <row r="166" spans="2:12">
      <c r="B166" s="2658"/>
      <c r="C166" s="2658"/>
      <c r="D166" s="2664" t="s">
        <v>5</v>
      </c>
      <c r="E166" s="2655"/>
      <c r="F166" s="2656"/>
      <c r="G166" s="2541" t="str">
        <f>亮度與BLU功耗!E33</f>
        <v>V-CUT</v>
      </c>
      <c r="H166" s="2659"/>
      <c r="I166" s="2659"/>
      <c r="J166" s="2659"/>
      <c r="K166" s="2659"/>
      <c r="L166" s="2671" t="s">
        <v>582</v>
      </c>
    </row>
    <row r="167" spans="2:12">
      <c r="B167" s="2658"/>
      <c r="C167" s="2658"/>
      <c r="D167" s="2664" t="s">
        <v>96</v>
      </c>
      <c r="E167" s="2655"/>
      <c r="F167" s="2656"/>
      <c r="G167" s="2541">
        <f>亮度與BLU功耗!E34</f>
        <v>0.5</v>
      </c>
      <c r="H167" s="2659"/>
      <c r="I167" s="2659"/>
      <c r="J167" s="2659"/>
      <c r="K167" s="2659"/>
      <c r="L167" s="2671" t="s">
        <v>582</v>
      </c>
    </row>
    <row r="168" spans="2:12">
      <c r="B168" s="2658"/>
      <c r="C168" s="2658"/>
      <c r="D168" s="2664" t="s">
        <v>607</v>
      </c>
      <c r="E168" s="2655"/>
      <c r="F168" s="2656"/>
      <c r="G168" s="2660">
        <f>G153</f>
        <v>346.52</v>
      </c>
      <c r="H168" s="2659"/>
      <c r="I168" s="2659"/>
      <c r="J168" s="2659"/>
      <c r="K168" s="2659"/>
      <c r="L168" s="2671" t="s">
        <v>582</v>
      </c>
    </row>
    <row r="169" spans="2:12">
      <c r="B169" s="2658"/>
      <c r="C169" s="2658"/>
      <c r="D169" s="2664" t="s">
        <v>608</v>
      </c>
      <c r="E169" s="2655"/>
      <c r="F169" s="2656"/>
      <c r="G169" s="2541">
        <f>亮度與BLU功耗!E38+Bent方程式!D91+Bent方程式!D120</f>
        <v>203.8</v>
      </c>
      <c r="H169" s="2659"/>
      <c r="I169" s="2659"/>
      <c r="J169" s="2659"/>
      <c r="K169" s="2659"/>
      <c r="L169" s="2671" t="s">
        <v>582</v>
      </c>
    </row>
    <row r="170" spans="2:12">
      <c r="B170" s="2661"/>
      <c r="C170" s="2661"/>
      <c r="D170" s="2664" t="s">
        <v>609</v>
      </c>
      <c r="E170" s="2655"/>
      <c r="F170" s="2656"/>
      <c r="G170" s="2662" t="s">
        <v>610</v>
      </c>
      <c r="H170" s="2663"/>
      <c r="I170" s="2663"/>
      <c r="J170" s="2663"/>
      <c r="K170" s="2663"/>
      <c r="L170" s="2671" t="s">
        <v>582</v>
      </c>
    </row>
    <row r="171" spans="2:12">
      <c r="B171" s="2653" t="s">
        <v>505</v>
      </c>
      <c r="C171" s="2653" t="s">
        <v>611</v>
      </c>
      <c r="D171" s="2664" t="s">
        <v>612</v>
      </c>
      <c r="E171" s="2655"/>
      <c r="F171" s="2656"/>
      <c r="G171" s="2541" t="str">
        <f>亮度與BLU功耗!E35</f>
        <v>PC 白</v>
      </c>
      <c r="H171" s="2657">
        <v>1</v>
      </c>
      <c r="I171" s="2657"/>
      <c r="J171" s="2657">
        <v>1</v>
      </c>
      <c r="K171" s="2657">
        <v>0</v>
      </c>
      <c r="L171" s="2671" t="s">
        <v>582</v>
      </c>
    </row>
    <row r="172" spans="2:12">
      <c r="B172" s="2658"/>
      <c r="C172" s="2658"/>
      <c r="D172" s="2664" t="s">
        <v>607</v>
      </c>
      <c r="E172" s="2655"/>
      <c r="F172" s="2656"/>
      <c r="G172" s="2660">
        <f>亮度與BLU功耗!E37+Outline_X_and_Y!E4+Outline_X_and_Y!E13-2*Outline_X_and_Y!D4</f>
        <v>349.97</v>
      </c>
      <c r="H172" s="2659"/>
      <c r="I172" s="2659"/>
      <c r="J172" s="2659"/>
      <c r="K172" s="2659"/>
      <c r="L172" s="2671" t="s">
        <v>582</v>
      </c>
    </row>
    <row r="173" spans="2:12">
      <c r="B173" s="2658"/>
      <c r="C173" s="2658"/>
      <c r="D173" s="2664" t="s">
        <v>608</v>
      </c>
      <c r="E173" s="2655"/>
      <c r="F173" s="2656"/>
      <c r="G173" s="2660">
        <f>+亮度與BLU功耗!E38+Outline_X_and_Y!M4+Outline_X_and_Y!M13-2*Outline_X_and_Y!D4</f>
        <v>207.65</v>
      </c>
      <c r="H173" s="2659"/>
      <c r="I173" s="2659"/>
      <c r="J173" s="2659"/>
      <c r="K173" s="2659"/>
      <c r="L173" s="2671" t="s">
        <v>582</v>
      </c>
    </row>
    <row r="174" spans="2:12">
      <c r="B174" s="2658"/>
      <c r="C174" s="2658"/>
      <c r="D174" s="2664" t="s">
        <v>613</v>
      </c>
      <c r="E174" s="2655"/>
      <c r="F174" s="2656"/>
      <c r="G174" s="2662" t="s">
        <v>614</v>
      </c>
      <c r="H174" s="2659"/>
      <c r="I174" s="2659"/>
      <c r="J174" s="2659"/>
      <c r="K174" s="2659"/>
      <c r="L174" s="2671" t="s">
        <v>582</v>
      </c>
    </row>
    <row r="175" spans="2:12">
      <c r="B175" s="2661"/>
      <c r="C175" s="2661"/>
      <c r="D175" s="2664" t="s">
        <v>615</v>
      </c>
      <c r="E175" s="2655"/>
      <c r="F175" s="2656"/>
      <c r="G175" s="2662" t="s">
        <v>616</v>
      </c>
      <c r="H175" s="2663"/>
      <c r="I175" s="2663"/>
      <c r="J175" s="2663"/>
      <c r="K175" s="2663"/>
      <c r="L175" s="2671" t="s">
        <v>582</v>
      </c>
    </row>
    <row r="176" spans="2:12">
      <c r="B176" s="2653" t="s">
        <v>505</v>
      </c>
      <c r="C176" s="2653" t="s">
        <v>617</v>
      </c>
      <c r="D176" s="2664" t="s">
        <v>618</v>
      </c>
      <c r="E176" s="2665"/>
      <c r="F176" s="2665"/>
      <c r="G176" s="2541" t="str">
        <f>IF(亮度與BLU功耗!E27="","-",VLOOKUP(亮度與BLU功耗!E27,'U-Diff.選型'!B3:L14,11,0)&amp;" "&amp;亮度與BLU功耗!E27&amp;"  "&amp;VLOOKUP(亮度與BLU功耗!E27,'U-Diff.選型'!B3:L14,2,0)&amp;"t ")</f>
        <v>SKC JS960HK  0.115t </v>
      </c>
      <c r="H176" s="2657">
        <v>1</v>
      </c>
      <c r="I176" s="2657"/>
      <c r="J176" s="2657">
        <v>1</v>
      </c>
      <c r="K176" s="2657">
        <v>0</v>
      </c>
      <c r="L176" s="2671" t="s">
        <v>582</v>
      </c>
    </row>
    <row r="177" spans="2:12">
      <c r="B177" s="2658"/>
      <c r="C177" s="2658"/>
      <c r="D177" s="2664" t="s">
        <v>607</v>
      </c>
      <c r="E177" s="2665"/>
      <c r="F177" s="2665"/>
      <c r="G177" s="2660">
        <f>IF(亮度與BLU功耗!E27="","-",亮度與BLU功耗!E37+Bent方程式!D48+Bent方程式!D69)</f>
        <v>347.02</v>
      </c>
      <c r="H177" s="2659"/>
      <c r="I177" s="2659"/>
      <c r="J177" s="2659"/>
      <c r="K177" s="2659"/>
      <c r="L177" s="2671" t="s">
        <v>582</v>
      </c>
    </row>
    <row r="178" spans="2:12">
      <c r="B178" s="2658"/>
      <c r="C178" s="2658"/>
      <c r="D178" s="2664" t="s">
        <v>608</v>
      </c>
      <c r="E178" s="2665"/>
      <c r="F178" s="2665"/>
      <c r="G178" s="2660">
        <f>IF(亮度與BLU功耗!E27="","-",亮度與BLU功耗!E38+Bent方程式!D90+Bent方程式!D119)</f>
        <v>200.8</v>
      </c>
      <c r="H178" s="2659"/>
      <c r="I178" s="2659"/>
      <c r="J178" s="2659"/>
      <c r="K178" s="2659"/>
      <c r="L178" s="2671" t="s">
        <v>582</v>
      </c>
    </row>
    <row r="179" spans="2:12">
      <c r="B179" s="2658"/>
      <c r="C179" s="2658"/>
      <c r="D179" s="2664" t="s">
        <v>619</v>
      </c>
      <c r="E179" s="2665"/>
      <c r="F179" s="2665"/>
      <c r="G179" s="2662" t="s">
        <v>620</v>
      </c>
      <c r="H179" s="2659"/>
      <c r="I179" s="2659"/>
      <c r="J179" s="2659"/>
      <c r="K179" s="2659"/>
      <c r="L179" s="2671" t="s">
        <v>582</v>
      </c>
    </row>
    <row r="180" spans="2:12">
      <c r="B180" s="2658"/>
      <c r="C180" s="2658"/>
      <c r="D180" s="2664" t="s">
        <v>621</v>
      </c>
      <c r="E180" s="2665"/>
      <c r="F180" s="2665"/>
      <c r="G180" s="2662" t="s">
        <v>602</v>
      </c>
      <c r="H180" s="2659"/>
      <c r="I180" s="2659"/>
      <c r="J180" s="2659"/>
      <c r="K180" s="2659"/>
      <c r="L180" s="2671" t="s">
        <v>582</v>
      </c>
    </row>
    <row r="181" spans="2:12">
      <c r="B181" s="2653" t="s">
        <v>505</v>
      </c>
      <c r="C181" s="2653" t="s">
        <v>622</v>
      </c>
      <c r="D181" s="2664" t="s">
        <v>623</v>
      </c>
      <c r="E181" s="2665"/>
      <c r="F181" s="2665"/>
      <c r="G181" s="2541" t="str">
        <f>VLOOKUP(亮度與BLU功耗!E29,棱鏡片選型!C3:Y87,2,0)&amp;" "&amp;VLOOKUP(亮度與BLU功耗!E29,棱鏡片選型!C3:Y87,9,0)&amp;" "&amp;VLOOKUP(亮度與BLU功耗!E29,棱鏡片選型!C3:Y87,12,0)&amp;"t"</f>
        <v>Ubright HLS505-03 0.157t</v>
      </c>
      <c r="H181" s="2657">
        <v>1</v>
      </c>
      <c r="I181" s="2657"/>
      <c r="J181" s="2657">
        <v>1</v>
      </c>
      <c r="K181" s="2657">
        <v>0</v>
      </c>
      <c r="L181" s="2671" t="s">
        <v>582</v>
      </c>
    </row>
    <row r="182" spans="2:12">
      <c r="B182" s="2658"/>
      <c r="C182" s="2658"/>
      <c r="D182" s="2664" t="s">
        <v>607</v>
      </c>
      <c r="E182" s="2665"/>
      <c r="F182" s="2665"/>
      <c r="G182" s="2660">
        <f>亮度與BLU功耗!E37+Bent方程式!D48+Bent方程式!D69</f>
        <v>347.02</v>
      </c>
      <c r="H182" s="2659"/>
      <c r="I182" s="2659"/>
      <c r="J182" s="2659"/>
      <c r="K182" s="2659"/>
      <c r="L182" s="2671" t="s">
        <v>582</v>
      </c>
    </row>
    <row r="183" spans="2:12">
      <c r="B183" s="2658"/>
      <c r="C183" s="2658"/>
      <c r="D183" s="2664" t="s">
        <v>608</v>
      </c>
      <c r="E183" s="2665"/>
      <c r="F183" s="2665"/>
      <c r="G183" s="2660">
        <f>亮度與BLU功耗!E38+Bent方程式!D90+Bent方程式!D119</f>
        <v>200.8</v>
      </c>
      <c r="H183" s="2659"/>
      <c r="I183" s="2659"/>
      <c r="J183" s="2659"/>
      <c r="K183" s="2659"/>
      <c r="L183" s="2671" t="s">
        <v>582</v>
      </c>
    </row>
    <row r="184" spans="2:12">
      <c r="B184" s="2653" t="s">
        <v>505</v>
      </c>
      <c r="C184" s="2653" t="s">
        <v>624</v>
      </c>
      <c r="D184" s="2664" t="s">
        <v>625</v>
      </c>
      <c r="E184" s="2665"/>
      <c r="F184" s="2665"/>
      <c r="G184" s="2541" t="str">
        <f>IF(VLOOKUP(亮度與BLU功耗!E29,棱鏡片選型!C3:Y87,16,0)="","-",VLOOKUP(亮度與BLU功耗!E29,棱鏡片選型!C3:Y87,2,0)&amp;" "&amp;VLOOKUP(亮度與BLU功耗!E29,棱鏡片選型!C3:Y87,13,0)&amp;" "&amp;VLOOKUP(亮度與BLU功耗!E29,棱鏡片選型!C3:Y87,16,0)&amp;"t")</f>
        <v>Ubright HS505E 0.152t</v>
      </c>
      <c r="H184" s="2657">
        <v>1</v>
      </c>
      <c r="I184" s="2657"/>
      <c r="J184" s="2657">
        <v>1</v>
      </c>
      <c r="K184" s="2657">
        <v>0</v>
      </c>
      <c r="L184" s="2671" t="s">
        <v>582</v>
      </c>
    </row>
    <row r="185" spans="2:12">
      <c r="B185" s="2658"/>
      <c r="C185" s="2658"/>
      <c r="D185" s="2664" t="s">
        <v>607</v>
      </c>
      <c r="E185" s="2665"/>
      <c r="F185" s="2665"/>
      <c r="G185" s="2660">
        <f>IF(VLOOKUP(亮度與BLU功耗!E29,棱鏡片選型!C3:Y87,16,0)="","-",亮度與BLU功耗!E37+Bent方程式!D48+Bent方程式!D69)</f>
        <v>347.02</v>
      </c>
      <c r="H185" s="2659"/>
      <c r="I185" s="2659"/>
      <c r="J185" s="2659"/>
      <c r="K185" s="2659"/>
      <c r="L185" s="2671" t="s">
        <v>582</v>
      </c>
    </row>
    <row r="186" spans="2:12">
      <c r="B186" s="2658"/>
      <c r="C186" s="2658"/>
      <c r="D186" s="2664" t="s">
        <v>608</v>
      </c>
      <c r="E186" s="2665"/>
      <c r="F186" s="2665"/>
      <c r="G186" s="2660">
        <f>IF(VLOOKUP(亮度與BLU功耗!E29,棱鏡片選型!C3:Y87,16,0)="","-",亮度與BLU功耗!E38+Bent方程式!D90+Bent方程式!D119)</f>
        <v>200.8</v>
      </c>
      <c r="H186" s="2659"/>
      <c r="I186" s="2659"/>
      <c r="J186" s="2659"/>
      <c r="K186" s="2659"/>
      <c r="L186" s="2671" t="s">
        <v>582</v>
      </c>
    </row>
    <row r="187" spans="2:12">
      <c r="B187" s="2653" t="s">
        <v>505</v>
      </c>
      <c r="C187" s="2653" t="s">
        <v>626</v>
      </c>
      <c r="D187" s="2664" t="s">
        <v>627</v>
      </c>
      <c r="E187" s="2665"/>
      <c r="F187" s="2665"/>
      <c r="G187" s="2541" t="str">
        <f>VLOOKUP(亮度與BLU功耗!E31,'D-Diff.選型'!B2:K18,9,0)&amp;" "&amp;亮度與BLU功耗!E31&amp;" "&amp;VLOOKUP(亮度與BLU功耗!E31,'D-Diff.選型'!B2:K18,2,0)&amp;"t"</f>
        <v>乐凯 CDH743X 0.058t</v>
      </c>
      <c r="H187" s="2657">
        <v>1</v>
      </c>
      <c r="I187" s="2657"/>
      <c r="J187" s="2657">
        <v>1</v>
      </c>
      <c r="K187" s="2657">
        <v>0</v>
      </c>
      <c r="L187" s="2671" t="s">
        <v>582</v>
      </c>
    </row>
    <row r="188" spans="2:12">
      <c r="B188" s="2658"/>
      <c r="C188" s="2658"/>
      <c r="D188" s="2664" t="s">
        <v>607</v>
      </c>
      <c r="E188" s="2665"/>
      <c r="F188" s="2665"/>
      <c r="G188" s="2541">
        <f>亮度與BLU功耗!E37+Bent方程式!D48+Bent方程式!D69</f>
        <v>347.02</v>
      </c>
      <c r="H188" s="2659"/>
      <c r="I188" s="2659"/>
      <c r="J188" s="2659"/>
      <c r="K188" s="2659"/>
      <c r="L188" s="2671" t="s">
        <v>582</v>
      </c>
    </row>
    <row r="189" spans="2:12">
      <c r="B189" s="2658"/>
      <c r="C189" s="2658"/>
      <c r="D189" s="2664" t="s">
        <v>608</v>
      </c>
      <c r="E189" s="2665"/>
      <c r="F189" s="2665"/>
      <c r="G189" s="2541">
        <f>亮度與BLU功耗!E38+Bent方程式!D90+Bent方程式!D119</f>
        <v>200.8</v>
      </c>
      <c r="H189" s="2659"/>
      <c r="I189" s="2659"/>
      <c r="J189" s="2659"/>
      <c r="K189" s="2659"/>
      <c r="L189" s="2671" t="s">
        <v>582</v>
      </c>
    </row>
    <row r="190" spans="2:12">
      <c r="B190" s="2658"/>
      <c r="C190" s="2658"/>
      <c r="D190" s="2664" t="s">
        <v>619</v>
      </c>
      <c r="E190" s="2665"/>
      <c r="F190" s="2665"/>
      <c r="G190" s="2662" t="s">
        <v>620</v>
      </c>
      <c r="H190" s="2659"/>
      <c r="I190" s="2659"/>
      <c r="J190" s="2659"/>
      <c r="K190" s="2659"/>
      <c r="L190" s="2671" t="s">
        <v>582</v>
      </c>
    </row>
    <row r="191" spans="2:12">
      <c r="B191" s="2658"/>
      <c r="C191" s="2658"/>
      <c r="D191" s="2664" t="s">
        <v>621</v>
      </c>
      <c r="E191" s="2665"/>
      <c r="F191" s="2665"/>
      <c r="G191" s="2662" t="s">
        <v>602</v>
      </c>
      <c r="H191" s="2659"/>
      <c r="I191" s="2659"/>
      <c r="J191" s="2659"/>
      <c r="K191" s="2659"/>
      <c r="L191" s="2671" t="s">
        <v>582</v>
      </c>
    </row>
    <row r="192" spans="2:12">
      <c r="B192" s="2666" t="s">
        <v>505</v>
      </c>
      <c r="C192" s="2666" t="s">
        <v>628</v>
      </c>
      <c r="D192" s="2664" t="s">
        <v>629</v>
      </c>
      <c r="E192" s="2665"/>
      <c r="F192" s="2665"/>
      <c r="G192" s="2541" t="str">
        <f>VLOOKUP(亮度與BLU功耗!E32,Ref.選型!B2:J18,9,0)&amp;" "&amp;亮度與BLU功耗!E32&amp;" "&amp;VLOOKUP(亮度與BLU功耗!E32,Ref.選型!B2:J18,3,0)&amp;"t"</f>
        <v>兰埔成 RF150UC10E 0.16t</v>
      </c>
      <c r="H192" s="2667">
        <v>1</v>
      </c>
      <c r="I192" s="2667"/>
      <c r="J192" s="2667">
        <v>1</v>
      </c>
      <c r="K192" s="2667">
        <v>0</v>
      </c>
      <c r="L192" s="2671" t="s">
        <v>582</v>
      </c>
    </row>
    <row r="193" spans="2:12">
      <c r="B193" s="2666"/>
      <c r="C193" s="2666"/>
      <c r="D193" s="2664" t="s">
        <v>619</v>
      </c>
      <c r="E193" s="2665"/>
      <c r="F193" s="2665"/>
      <c r="G193" s="2662" t="s">
        <v>620</v>
      </c>
      <c r="H193" s="2667"/>
      <c r="I193" s="2667"/>
      <c r="J193" s="2667"/>
      <c r="K193" s="2667"/>
      <c r="L193" s="2671" t="s">
        <v>582</v>
      </c>
    </row>
    <row r="194" spans="2:12">
      <c r="B194" s="2666"/>
      <c r="C194" s="2666"/>
      <c r="D194" s="2664" t="s">
        <v>607</v>
      </c>
      <c r="E194" s="2665"/>
      <c r="F194" s="2665"/>
      <c r="G194" s="2660">
        <f>G168</f>
        <v>346.52</v>
      </c>
      <c r="H194" s="2667"/>
      <c r="I194" s="2667"/>
      <c r="J194" s="2667"/>
      <c r="K194" s="2667"/>
      <c r="L194" s="2671" t="s">
        <v>582</v>
      </c>
    </row>
    <row r="195" spans="2:12">
      <c r="B195" s="2666"/>
      <c r="C195" s="2666"/>
      <c r="D195" s="2664" t="s">
        <v>608</v>
      </c>
      <c r="E195" s="2665"/>
      <c r="F195" s="2665"/>
      <c r="G195" s="2541">
        <f>Bent方程式!C3+Bent方程式!D92+Bent方程式!D120-3</f>
        <v>199.9</v>
      </c>
      <c r="H195" s="2667"/>
      <c r="I195" s="2667"/>
      <c r="J195" s="2667"/>
      <c r="K195" s="2667"/>
      <c r="L195" s="2671" t="s">
        <v>582</v>
      </c>
    </row>
    <row r="196" ht="26.4" spans="2:12">
      <c r="B196" s="2666" t="s">
        <v>505</v>
      </c>
      <c r="C196" s="2666" t="s">
        <v>630</v>
      </c>
      <c r="D196" s="2654" t="s">
        <v>631</v>
      </c>
      <c r="E196" s="2655"/>
      <c r="F196" s="2656"/>
      <c r="G196" s="2543" t="str">
        <f>亮度與BLU功耗!E36</f>
        <v>是(LB與LGP固定)</v>
      </c>
      <c r="H196" s="2659">
        <v>1</v>
      </c>
      <c r="I196" s="2659"/>
      <c r="J196" s="2659">
        <v>1</v>
      </c>
      <c r="K196" s="2659">
        <v>0</v>
      </c>
      <c r="L196" s="2671" t="s">
        <v>582</v>
      </c>
    </row>
    <row r="197" ht="26.4" spans="2:12">
      <c r="B197" s="2666"/>
      <c r="C197" s="2666"/>
      <c r="D197" s="2654" t="s">
        <v>632</v>
      </c>
      <c r="E197" s="2655"/>
      <c r="F197" s="2656"/>
      <c r="G197" s="2672" t="s">
        <v>633</v>
      </c>
      <c r="H197" s="2659"/>
      <c r="I197" s="2659"/>
      <c r="J197" s="2659"/>
      <c r="K197" s="2659"/>
      <c r="L197" s="2671" t="s">
        <v>582</v>
      </c>
    </row>
    <row r="198" spans="2:12">
      <c r="B198" s="2666" t="s">
        <v>505</v>
      </c>
      <c r="C198" s="2666" t="s">
        <v>634</v>
      </c>
      <c r="D198" s="2664" t="s">
        <v>420</v>
      </c>
      <c r="E198" s="2655"/>
      <c r="F198" s="2656"/>
      <c r="G198" s="2656" t="s">
        <v>635</v>
      </c>
      <c r="H198" s="2673"/>
      <c r="I198" s="2668"/>
      <c r="J198" s="2667">
        <v>1</v>
      </c>
      <c r="K198" s="2677">
        <v>0</v>
      </c>
      <c r="L198" s="2671" t="s">
        <v>582</v>
      </c>
    </row>
    <row r="199" spans="2:12">
      <c r="B199" s="2666" t="s">
        <v>505</v>
      </c>
      <c r="C199" s="2666" t="s">
        <v>636</v>
      </c>
      <c r="D199" s="2664" t="s">
        <v>637</v>
      </c>
      <c r="E199" s="2655"/>
      <c r="F199" s="2656"/>
      <c r="G199" s="2668"/>
      <c r="H199" s="2673"/>
      <c r="I199" s="2668"/>
      <c r="J199" s="2667">
        <v>1</v>
      </c>
      <c r="K199" s="2677">
        <v>0</v>
      </c>
      <c r="L199" s="2671" t="s">
        <v>582</v>
      </c>
    </row>
    <row r="200" spans="2:12">
      <c r="B200" s="2653" t="s">
        <v>505</v>
      </c>
      <c r="C200" s="2674" t="s">
        <v>638</v>
      </c>
      <c r="D200" s="2664" t="s">
        <v>639</v>
      </c>
      <c r="E200" s="2655"/>
      <c r="F200" s="2656"/>
      <c r="G200" s="2541" t="str">
        <f>'Cell Tape 貼覆面積'!G10</f>
        <v>双铝 </v>
      </c>
      <c r="H200" s="2657">
        <v>1</v>
      </c>
      <c r="I200" s="2657"/>
      <c r="J200" s="2657">
        <v>1</v>
      </c>
      <c r="K200" s="2678">
        <v>0</v>
      </c>
      <c r="L200" s="2671" t="s">
        <v>582</v>
      </c>
    </row>
    <row r="201" spans="2:12">
      <c r="B201" s="2658"/>
      <c r="C201" s="2675"/>
      <c r="D201" s="2664" t="s">
        <v>607</v>
      </c>
      <c r="E201" s="2655"/>
      <c r="F201" s="2656"/>
      <c r="G201" s="2660">
        <f>Outline_X_and_Y!D22-0.1</f>
        <v>349.97</v>
      </c>
      <c r="H201" s="2659"/>
      <c r="I201" s="2659"/>
      <c r="J201" s="2659"/>
      <c r="K201" s="2679"/>
      <c r="L201" s="2671" t="s">
        <v>582</v>
      </c>
    </row>
    <row r="202" spans="2:12">
      <c r="B202" s="2661"/>
      <c r="C202" s="2676"/>
      <c r="D202" s="2664" t="s">
        <v>608</v>
      </c>
      <c r="E202" s="2655"/>
      <c r="F202" s="2656"/>
      <c r="G202" s="2660">
        <f>Outline_X_and_Y!M4-'Cell Tape 貼覆面積'!G6+'Thickness &amp; Weight'!C22+5</f>
        <v>9.328</v>
      </c>
      <c r="H202" s="2663"/>
      <c r="I202" s="2663"/>
      <c r="J202" s="2663"/>
      <c r="K202" s="2680"/>
      <c r="L202" s="2671" t="s">
        <v>582</v>
      </c>
    </row>
    <row r="203" spans="2:12">
      <c r="B203" s="2653" t="s">
        <v>505</v>
      </c>
      <c r="C203" s="2674" t="s">
        <v>640</v>
      </c>
      <c r="D203" s="2664" t="s">
        <v>641</v>
      </c>
      <c r="E203" s="2655"/>
      <c r="F203" s="2656"/>
      <c r="G203" s="2541" t="str">
        <f>'Cell Tape 貼覆面積'!G16</f>
        <v>双铝 </v>
      </c>
      <c r="H203" s="2657">
        <v>1</v>
      </c>
      <c r="I203" s="2657"/>
      <c r="J203" s="2657">
        <v>1</v>
      </c>
      <c r="K203" s="2678">
        <v>0</v>
      </c>
      <c r="L203" s="2671" t="s">
        <v>582</v>
      </c>
    </row>
    <row r="204" spans="2:12">
      <c r="B204" s="2658"/>
      <c r="C204" s="2675"/>
      <c r="D204" s="2664" t="s">
        <v>607</v>
      </c>
      <c r="E204" s="2655"/>
      <c r="F204" s="2656"/>
      <c r="G204" s="2660">
        <f>G201</f>
        <v>349.97</v>
      </c>
      <c r="H204" s="2659"/>
      <c r="I204" s="2659"/>
      <c r="J204" s="2659"/>
      <c r="K204" s="2679"/>
      <c r="L204" s="2671" t="s">
        <v>582</v>
      </c>
    </row>
    <row r="205" spans="2:12">
      <c r="B205" s="2661"/>
      <c r="C205" s="2676"/>
      <c r="D205" s="2664" t="s">
        <v>608</v>
      </c>
      <c r="E205" s="2655"/>
      <c r="F205" s="2656"/>
      <c r="G205" s="2660">
        <f>Outline_X_and_Y!M13-'Cell Tape 貼覆面積'!G12+'Thickness &amp; Weight'!L13+Outline_X_and_Y!R40+'Thickness &amp; Weight'!U11+5</f>
        <v>33.863</v>
      </c>
      <c r="H205" s="2663"/>
      <c r="I205" s="2663"/>
      <c r="J205" s="2663"/>
      <c r="K205" s="2680"/>
      <c r="L205" s="2671" t="s">
        <v>582</v>
      </c>
    </row>
    <row r="206" spans="2:12">
      <c r="B206" s="2653" t="s">
        <v>505</v>
      </c>
      <c r="C206" s="2674" t="s">
        <v>642</v>
      </c>
      <c r="D206" s="2664" t="s">
        <v>643</v>
      </c>
      <c r="E206" s="2655"/>
      <c r="F206" s="2656"/>
      <c r="G206" s="2541" t="str">
        <f>'Cell Tape 貼覆面積'!C10</f>
        <v>双铝 </v>
      </c>
      <c r="H206" s="2657">
        <v>1</v>
      </c>
      <c r="I206" s="2657"/>
      <c r="J206" s="2657">
        <v>1</v>
      </c>
      <c r="K206" s="2678">
        <f>H206/J206</f>
        <v>1</v>
      </c>
      <c r="L206" s="2671" t="s">
        <v>582</v>
      </c>
    </row>
    <row r="207" spans="2:12">
      <c r="B207" s="2658"/>
      <c r="C207" s="2675"/>
      <c r="D207" s="2664" t="s">
        <v>607</v>
      </c>
      <c r="E207" s="2655"/>
      <c r="F207" s="2656"/>
      <c r="G207" s="2660">
        <f>Outline_X_and_Y!L22-0.1</f>
        <v>207.65</v>
      </c>
      <c r="H207" s="2659"/>
      <c r="I207" s="2659"/>
      <c r="J207" s="2659"/>
      <c r="K207" s="2679"/>
      <c r="L207" s="2671" t="s">
        <v>582</v>
      </c>
    </row>
    <row r="208" spans="2:12">
      <c r="B208" s="2661"/>
      <c r="C208" s="2676"/>
      <c r="D208" s="2664" t="s">
        <v>608</v>
      </c>
      <c r="E208" s="2655"/>
      <c r="F208" s="2656"/>
      <c r="G208" s="2660">
        <f>Outline_X_and_Y!E4-'Cell Tape 貼覆面積'!C6+'Thickness &amp; Weight'!C22+5</f>
        <v>9.378</v>
      </c>
      <c r="H208" s="2663"/>
      <c r="I208" s="2663"/>
      <c r="J208" s="2663"/>
      <c r="K208" s="2680"/>
      <c r="L208" s="2671" t="s">
        <v>582</v>
      </c>
    </row>
    <row r="209" spans="2:12">
      <c r="B209" s="2653" t="s">
        <v>505</v>
      </c>
      <c r="C209" s="2674" t="s">
        <v>644</v>
      </c>
      <c r="D209" s="2664" t="s">
        <v>645</v>
      </c>
      <c r="E209" s="2655"/>
      <c r="F209" s="2656"/>
      <c r="G209" s="2541" t="str">
        <f>'Cell Tape 貼覆面積'!C16</f>
        <v>双铝 </v>
      </c>
      <c r="H209" s="2657">
        <v>1</v>
      </c>
      <c r="I209" s="2657"/>
      <c r="J209" s="2657">
        <v>1</v>
      </c>
      <c r="K209" s="2678">
        <f>H209/J209</f>
        <v>1</v>
      </c>
      <c r="L209" s="2671" t="s">
        <v>582</v>
      </c>
    </row>
    <row r="210" spans="2:12">
      <c r="B210" s="2658"/>
      <c r="C210" s="2675"/>
      <c r="D210" s="2664" t="s">
        <v>607</v>
      </c>
      <c r="E210" s="2655"/>
      <c r="F210" s="2656"/>
      <c r="G210" s="2660">
        <f>G207</f>
        <v>207.65</v>
      </c>
      <c r="H210" s="2659"/>
      <c r="I210" s="2659"/>
      <c r="J210" s="2659"/>
      <c r="K210" s="2679"/>
      <c r="L210" s="2671" t="s">
        <v>582</v>
      </c>
    </row>
    <row r="211" spans="2:12">
      <c r="B211" s="2661"/>
      <c r="C211" s="2676"/>
      <c r="D211" s="2664" t="s">
        <v>608</v>
      </c>
      <c r="E211" s="2655"/>
      <c r="F211" s="2656"/>
      <c r="G211" s="2660">
        <f>Outline_X_and_Y!E13-'Cell Tape 貼覆面積'!C12+'Thickness &amp; Weight'!C22+5</f>
        <v>9.228</v>
      </c>
      <c r="H211" s="2663"/>
      <c r="I211" s="2663"/>
      <c r="J211" s="2663"/>
      <c r="K211" s="2680"/>
      <c r="L211" s="2671" t="s">
        <v>582</v>
      </c>
    </row>
    <row r="212" spans="2:12">
      <c r="B212" s="2666" t="s">
        <v>505</v>
      </c>
      <c r="C212" s="2666" t="s">
        <v>646</v>
      </c>
      <c r="D212" s="2664" t="s">
        <v>647</v>
      </c>
      <c r="E212" s="2655"/>
      <c r="F212" s="2656" t="s">
        <v>521</v>
      </c>
      <c r="G212" s="2668"/>
      <c r="H212" s="2673"/>
      <c r="I212" s="2668"/>
      <c r="J212" s="2667">
        <v>1</v>
      </c>
      <c r="K212" s="2677">
        <f>H212/J212</f>
        <v>0</v>
      </c>
      <c r="L212" s="2671"/>
    </row>
  </sheetData>
  <autoFilter ref="B4:K212">
    <extLst/>
  </autoFilter>
  <mergeCells count="84">
    <mergeCell ref="B147:B155"/>
    <mergeCell ref="B156:B164"/>
    <mergeCell ref="B165:B170"/>
    <mergeCell ref="B171:B175"/>
    <mergeCell ref="B176:B180"/>
    <mergeCell ref="B181:B183"/>
    <mergeCell ref="B184:B186"/>
    <mergeCell ref="B187:B191"/>
    <mergeCell ref="B192:B195"/>
    <mergeCell ref="B196:B197"/>
    <mergeCell ref="B200:B202"/>
    <mergeCell ref="B203:B205"/>
    <mergeCell ref="B206:B208"/>
    <mergeCell ref="B209:B211"/>
    <mergeCell ref="C147:C155"/>
    <mergeCell ref="C156:C164"/>
    <mergeCell ref="C165:C170"/>
    <mergeCell ref="C171:C175"/>
    <mergeCell ref="C176:C180"/>
    <mergeCell ref="C181:C183"/>
    <mergeCell ref="C184:C186"/>
    <mergeCell ref="C187:C191"/>
    <mergeCell ref="C192:C195"/>
    <mergeCell ref="C196:C197"/>
    <mergeCell ref="C200:C202"/>
    <mergeCell ref="C203:C205"/>
    <mergeCell ref="C206:C208"/>
    <mergeCell ref="C209:C211"/>
    <mergeCell ref="H147:H155"/>
    <mergeCell ref="H156:H164"/>
    <mergeCell ref="H165:H170"/>
    <mergeCell ref="H171:H175"/>
    <mergeCell ref="H176:H180"/>
    <mergeCell ref="H181:H183"/>
    <mergeCell ref="H184:H186"/>
    <mergeCell ref="H187:H191"/>
    <mergeCell ref="H192:H195"/>
    <mergeCell ref="H196:H197"/>
    <mergeCell ref="H200:H202"/>
    <mergeCell ref="H203:H205"/>
    <mergeCell ref="H206:H208"/>
    <mergeCell ref="H209:H211"/>
    <mergeCell ref="I147:I155"/>
    <mergeCell ref="I156:I164"/>
    <mergeCell ref="I165:I170"/>
    <mergeCell ref="I171:I175"/>
    <mergeCell ref="I176:I180"/>
    <mergeCell ref="I181:I183"/>
    <mergeCell ref="I184:I186"/>
    <mergeCell ref="I187:I191"/>
    <mergeCell ref="I192:I195"/>
    <mergeCell ref="I196:I197"/>
    <mergeCell ref="I200:I202"/>
    <mergeCell ref="I203:I205"/>
    <mergeCell ref="I206:I208"/>
    <mergeCell ref="I209:I211"/>
    <mergeCell ref="J147:J155"/>
    <mergeCell ref="J156:J164"/>
    <mergeCell ref="J165:J170"/>
    <mergeCell ref="J171:J175"/>
    <mergeCell ref="J176:J180"/>
    <mergeCell ref="J181:J183"/>
    <mergeCell ref="J184:J186"/>
    <mergeCell ref="J187:J191"/>
    <mergeCell ref="J192:J195"/>
    <mergeCell ref="J196:J197"/>
    <mergeCell ref="J200:J202"/>
    <mergeCell ref="J203:J205"/>
    <mergeCell ref="J206:J208"/>
    <mergeCell ref="J209:J211"/>
    <mergeCell ref="K147:K155"/>
    <mergeCell ref="K156:K164"/>
    <mergeCell ref="K165:K170"/>
    <mergeCell ref="K171:K175"/>
    <mergeCell ref="K176:K180"/>
    <mergeCell ref="K181:K183"/>
    <mergeCell ref="K184:K186"/>
    <mergeCell ref="K187:K191"/>
    <mergeCell ref="K192:K195"/>
    <mergeCell ref="K196:K197"/>
    <mergeCell ref="K200:K202"/>
    <mergeCell ref="K203:K205"/>
    <mergeCell ref="K206:K208"/>
    <mergeCell ref="K209:K211"/>
  </mergeCells>
  <dataValidations count="35">
    <dataValidation allowBlank="1" showInputMessage="1" showErrorMessage="1" prompt="有薄化，抛光，镀膜需求是请填写相应规格&#10;如：0.5+0.5--&gt;0.2+0.2T，双面抛光" sqref="G5:G9"/>
    <dataValidation allowBlank="1" showInputMessage="1" showErrorMessage="1" prompt="成本评估时请汇总担当填写" sqref="B3:G3"/>
    <dataValidation allowBlank="1" showInputMessage="1" showErrorMessage="1" prompt="原材型号" sqref="G192 G176:G178 G181:G189 G194:G195"/>
    <dataValidation allowBlank="1" showInputMessage="1" showErrorMessage="1" prompt="液晶型号" sqref="G73"/>
    <dataValidation allowBlank="1" showInputMessage="1" showErrorMessage="1" prompt="共用现有时，只需提供产品机种FG-Code，不用提供ACC明细" sqref="G10"/>
    <dataValidation allowBlank="1" showInputMessage="1" showErrorMessage="1" prompt="默认按10000Panel填写" sqref="H12:H41 H43:H55 H57:H66 H73:H78"/>
    <dataValidation allowBlank="1" showInputMessage="1" showErrorMessage="1" prompt="材质，厚度，特殊处理" sqref="G165:G169"/>
    <dataValidation allowBlank="1" showInputMessage="1" showErrorMessage="1" prompt="共用现有时，只需提供参考品机G-Code不用提供明细" sqref="G11 G42 G56 G67:G72"/>
    <dataValidation allowBlank="1" showInputMessage="1" showErrorMessage="1" promptTitle="TV产品注意" prompt="L&amp;R设计一样时用量填写为2即可&#10;不一致时，添加一行“X-PCB L”单独填写，本行默认为R侧" sqref="D90"/>
    <dataValidation allowBlank="1" showInputMessage="1" showErrorMessage="1" prompt="填写空片物料号" sqref="F104 F107"/>
    <dataValidation allowBlank="1" showInputMessage="1" showErrorMessage="1" prompt="尺寸&amp;表面处理&amp;材质&amp;厚度" sqref="G79:G80"/>
    <dataValidation type="list" allowBlank="1" showInputMessage="1" showErrorMessage="1" prompt="材质&amp;颜色" sqref="G175">
      <formula1>"4边,3边,1边,3边+1边"</formula1>
    </dataValidation>
    <dataValidation allowBlank="1" showInputMessage="1" showErrorMessage="1" prompt="功耗等规格" sqref="G146"/>
    <dataValidation type="list" allowBlank="1" showInputMessage="1" showErrorMessage="1" sqref="L5:L212">
      <formula1>"Array,Cell,CF,机光,电路"</formula1>
    </dataValidation>
    <dataValidation allowBlank="1" showInputMessage="1" showErrorMessage="1" promptTitle="勿改动" prompt="公式内容，勿改动" sqref="H147:I147 H156:K156 H165:K165 H171:K171 H181:K181 H184:K184 H187:K187 H200:I200 H203:K203 H206:K206 H209:K209 J212:K212 J5:K147 J198:K200 H176:K177 H192:K193"/>
    <dataValidation type="list" allowBlank="1" showInputMessage="1" showErrorMessage="1" prompt="材质&amp;厚度，单折边or双折边等" sqref="G162 G164 G180 G191">
      <formula1>"有,无"</formula1>
    </dataValidation>
    <dataValidation allowBlank="1" showInputMessage="1" showErrorMessage="1" prompt="材质&amp;厚度，单折边or双折边等" sqref="G163 G156:G161"/>
    <dataValidation type="list" allowBlank="1" showInputMessage="1" showErrorMessage="1" prompt="材质，厚度，特殊处理" sqref="G170">
      <formula1>"EN/MP均Aging,EN/MP均不Aging"</formula1>
    </dataValidation>
    <dataValidation type="list" allowBlank="1" showInputMessage="1" showErrorMessage="1" prompt="材质&amp;颜色" sqref="G174">
      <formula1>"分体式,一体式"</formula1>
    </dataValidation>
    <dataValidation type="list" allowBlank="1" showInputMessage="1" showErrorMessage="1" prompt="原材型号" sqref="G179 G190 G193">
      <formula1>"不限制,TD,MD"</formula1>
    </dataValidation>
    <dataValidation allowBlank="1" showInputMessage="1" showErrorMessage="1" prompt="材质&amp;颜色" sqref="G171:G173"/>
    <dataValidation allowBlank="1" showInputMessage="1" showErrorMessage="1" prompt="特殊要求请说明" sqref="G196 G198"/>
    <dataValidation allowBlank="1" showInputMessage="1" showErrorMessage="1" prompt="LED&amp;数量&amp;亮度&amp;粉&amp;电压&amp;Zener/TVS" sqref="G147:G155"/>
    <dataValidation type="list" allowBlank="1" showInputMessage="1" showErrorMessage="1" prompt="特殊要求请说明" sqref="G197">
      <formula1>"三段式,拼接式,一体式"</formula1>
    </dataValidation>
    <dataValidation allowBlank="1" showInputMessage="1" showErrorMessage="1" prompt="共用提供参考机种FG-Code&#10;新开提供二级部品明细" sqref="G212"/>
    <dataValidation allowBlank="1" showInputMessage="1" showErrorMessage="1" prompt="可填写推荐供应商，最终选择以供应链为准" sqref="I212 I5:I146 I198:I199"/>
    <dataValidation allowBlank="1" showInputMessage="1" showErrorMessage="1" prompt="需使用多个不同规格时，添加行，命名为“OP 型号2”" sqref="D116:D118"/>
    <dataValidation allowBlank="1" showInputMessage="1" showErrorMessage="1" prompt="填写型号" sqref="G81:G86 G92:G133"/>
    <dataValidation allowBlank="1" showInputMessage="1" showErrorMessage="1" promptTitle="注意" prompt="需使用多个不同规格时，添加行，如还需使用一个LDO，增加一行“LDO 型号2”" sqref="D134:D142"/>
    <dataValidation allowBlank="1" showInputMessage="1" showErrorMessage="1" prompt="有物料号的需填写，暂无的写TBD" sqref="F12:F41 F43:F55 F57:F66 F73:F88 F90:F103 F105:F106 F108:F211"/>
    <dataValidation allowBlank="1" showInputMessage="1" showErrorMessage="1" prompt="填写材料规格" sqref="G12:G41 G43:G55 G57:G66 G74:G78"/>
    <dataValidation allowBlank="1" showInputMessage="1" showErrorMessage="1" prompt="长*宽，层数，若为COF材质请说明" sqref="G87:G88"/>
    <dataValidation allowBlank="1" showInputMessage="1" showErrorMessage="1" prompt="尺寸&amp;厚度&amp;层数&amp;是否HDI" sqref="G90:G91"/>
    <dataValidation allowBlank="1" showInputMessage="1" showErrorMessage="1" prompt="材质" sqref="G199:G211"/>
    <dataValidation allowBlank="1" showInputMessage="1" showErrorMessage="1" promptTitle="注意" prompt="可选2、3无需填写用量" sqref="H82:H83 H85:H86 H93:H94 H96:H97 H99:H100 H102:H103 H105:H106 H108:H109 H111:H112 H114:H115 H117:H118 H120:H121 H123:H124 H126:H127 H129:H130 H132:H133"/>
  </dataValidations>
  <pageMargins left="0.7" right="0.7" top="0.75" bottom="0.75" header="0.3" footer="0.3"/>
  <pageSetup paperSize="9" orientation="portrait"/>
  <headerFooter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7"/>
  <dimension ref="A1:AS297"/>
  <sheetViews>
    <sheetView zoomScale="70" zoomScaleNormal="70" workbookViewId="0">
      <pane xSplit="2" ySplit="13" topLeftCell="C14" activePane="bottomRight" state="frozen"/>
      <selection/>
      <selection pane="topRight"/>
      <selection pane="bottomLeft"/>
      <selection pane="bottomRight" activeCell="L8" sqref="L8"/>
    </sheetView>
  </sheetViews>
  <sheetFormatPr defaultColWidth="8.77777777777778" defaultRowHeight="14.4"/>
  <cols>
    <col min="1" max="1" width="8.77777777777778" style="63" customWidth="1"/>
    <col min="2" max="2" width="38.1111111111111" style="63" customWidth="1"/>
    <col min="3" max="26" width="14.6666666666667" style="63" customWidth="1"/>
    <col min="27" max="27" width="12.8888888888889" style="63" customWidth="1"/>
    <col min="28" max="28" width="14.8888888888889" style="63" customWidth="1"/>
    <col min="29" max="29" width="15.4444444444444" style="63" customWidth="1"/>
    <col min="30" max="30" width="21" style="63" customWidth="1"/>
    <col min="31" max="16384" width="8.77777777777778" style="63"/>
  </cols>
  <sheetData>
    <row r="1" s="59" customFormat="1" ht="23.25" customHeight="1" spans="1:45">
      <c r="A1" s="64"/>
      <c r="B1" s="65">
        <f>A14</f>
        <v>0.65</v>
      </c>
      <c r="C1" s="66" t="s">
        <v>3115</v>
      </c>
      <c r="D1" s="66" t="s">
        <v>3008</v>
      </c>
      <c r="E1" s="66" t="s">
        <v>3116</v>
      </c>
      <c r="F1" s="66" t="s">
        <v>3117</v>
      </c>
      <c r="G1" s="67"/>
      <c r="H1" s="68">
        <f>A36</f>
        <v>0.6</v>
      </c>
      <c r="I1" s="66" t="s">
        <v>3117</v>
      </c>
      <c r="J1" s="67"/>
      <c r="K1" s="68">
        <f>A58</f>
        <v>0.55</v>
      </c>
      <c r="L1" s="66" t="s">
        <v>3117</v>
      </c>
      <c r="M1" s="67"/>
      <c r="N1" s="80">
        <f>A80</f>
        <v>0.5</v>
      </c>
      <c r="O1" s="66" t="s">
        <v>3117</v>
      </c>
      <c r="P1" s="67"/>
      <c r="Q1" s="80">
        <f>A102</f>
        <v>0.45</v>
      </c>
      <c r="R1" s="66" t="s">
        <v>3117</v>
      </c>
      <c r="S1" s="67"/>
      <c r="T1" s="80">
        <f>A124</f>
        <v>0.4</v>
      </c>
      <c r="U1" s="66" t="s">
        <v>3117</v>
      </c>
      <c r="V1" s="67"/>
      <c r="W1" s="67"/>
      <c r="X1" s="67"/>
      <c r="Y1" s="67"/>
      <c r="Z1" s="67"/>
      <c r="AA1" s="67"/>
      <c r="AB1" s="67"/>
      <c r="AC1" s="67"/>
      <c r="AD1" s="67"/>
      <c r="AE1" s="67"/>
      <c r="AF1" s="67"/>
      <c r="AG1" s="67"/>
      <c r="AH1" s="67"/>
      <c r="AI1" s="67"/>
      <c r="AJ1" s="67"/>
      <c r="AK1" s="67"/>
      <c r="AL1" s="67"/>
      <c r="AM1" s="67"/>
      <c r="AN1" s="67"/>
      <c r="AO1" s="67"/>
      <c r="AP1" s="67"/>
      <c r="AQ1" s="67"/>
      <c r="AR1" s="67"/>
      <c r="AS1" s="67"/>
    </row>
    <row r="2" s="60" customFormat="1" ht="28.5" customHeight="1" spans="1:45">
      <c r="A2" s="69"/>
      <c r="B2" s="70"/>
      <c r="C2" s="71" t="str">
        <f>IF(OR(亮度與BLU功耗!E16="",亮度與BLU功耗!E18=""),"",亮度與BLU功耗!E16&amp;"*"&amp;亮度與BLU功耗!E18)</f>
        <v>5*11</v>
      </c>
      <c r="D2" s="72">
        <f>亮度與BLU功耗!E21</f>
        <v>22</v>
      </c>
      <c r="E2" s="73" t="str">
        <f>C2</f>
        <v>5*11</v>
      </c>
      <c r="F2" s="73">
        <f>IF(OR(E2="",E2="Please Check The LED Series",D2="",D2=0),"Please Check LED or Current",INDEX(C14:V33,MATCH(D2,B14:B33,1),MATCH(E2,C13:V13,0)))</f>
        <v>0.8929</v>
      </c>
      <c r="G2" s="74"/>
      <c r="H2" s="75"/>
      <c r="I2" s="73">
        <f>IF(OR(E2="",E2="Please Check The LED Series",D2="",D2=0),"Please Check LED or Current",INDEX(C36:V55,MATCH(D2,B36:B55,1),MATCH(E2,C13:V13,0)))</f>
        <v>0.8926</v>
      </c>
      <c r="J2" s="74"/>
      <c r="K2" s="75"/>
      <c r="L2" s="73">
        <f>IF(OR(E2="",E2="Please Check The LED Series",D2="",D2=0),"Please Check LED or Current",INDEX(C58:V77,MATCH(D2,B58:B77,1),MATCH(E2,C13:V13,0)))</f>
        <v>0.8974</v>
      </c>
      <c r="M2" s="74"/>
      <c r="N2" s="75"/>
      <c r="O2" s="73">
        <f>IF(OR(E2="",E2="Please Check The LED Series",D2="",D2=0),"Please Check LED or Current",INDEX(C80:V99,MATCH(D2,B80:B99,1),MATCH(E2,C13:V13,0)))</f>
        <v>0.9016</v>
      </c>
      <c r="P2" s="74"/>
      <c r="Q2" s="75"/>
      <c r="R2" s="73">
        <f>IF(OR(E2="",E2="Please Check The LED Series",D2="",D2=0),"Please Check LED or Current",INDEX(C102:V121,MATCH(D2,B102:B121,1),MATCH(E2,C13:V13,0)))</f>
        <v>0.9009</v>
      </c>
      <c r="S2" s="74"/>
      <c r="T2" s="75"/>
      <c r="U2" s="73">
        <f>IF(OR(E2="",E2="Please Check The LED Series",D2="",D2=0),"Please Check LED or Current",INDEX(C124:V143,MATCH(D2,B124:B143,1),MATCH(E2,C13:V13,0)))</f>
        <v>0.8901</v>
      </c>
      <c r="V2" s="74"/>
      <c r="W2" s="74"/>
      <c r="X2" s="74"/>
      <c r="Y2" s="74"/>
      <c r="Z2" s="74"/>
      <c r="AA2" s="74"/>
      <c r="AB2" s="74"/>
      <c r="AC2" s="74"/>
      <c r="AD2" s="74"/>
      <c r="AE2" s="74"/>
      <c r="AF2" s="74"/>
      <c r="AG2" s="74"/>
      <c r="AH2" s="74"/>
      <c r="AI2" s="74"/>
      <c r="AJ2" s="74"/>
      <c r="AK2" s="74"/>
      <c r="AL2" s="74"/>
      <c r="AM2" s="74"/>
      <c r="AN2" s="74"/>
      <c r="AO2" s="74"/>
      <c r="AP2" s="74"/>
      <c r="AQ2" s="74"/>
      <c r="AR2" s="74"/>
      <c r="AS2" s="74"/>
    </row>
    <row r="3" s="61" customFormat="1" ht="28.5" customHeight="1" spans="1:42">
      <c r="A3" s="76"/>
      <c r="B3" s="77"/>
      <c r="C3" s="78"/>
      <c r="D3" s="79"/>
      <c r="E3" s="80">
        <f>A146</f>
        <v>0.35</v>
      </c>
      <c r="F3" s="66" t="s">
        <v>3117</v>
      </c>
      <c r="G3" s="81"/>
      <c r="H3" s="80">
        <f>A168</f>
        <v>0.3</v>
      </c>
      <c r="I3" s="66" t="s">
        <v>3117</v>
      </c>
      <c r="J3" s="81"/>
      <c r="K3" s="80">
        <f>A190</f>
        <v>0.25</v>
      </c>
      <c r="L3" s="66" t="s">
        <v>3117</v>
      </c>
      <c r="M3" s="81"/>
      <c r="N3" s="80">
        <f>A212</f>
        <v>0.2</v>
      </c>
      <c r="O3" s="66" t="s">
        <v>3117</v>
      </c>
      <c r="P3" s="81"/>
      <c r="Q3" s="80">
        <f>A234</f>
        <v>0.15</v>
      </c>
      <c r="R3" s="66" t="s">
        <v>3117</v>
      </c>
      <c r="S3" s="81"/>
      <c r="T3" s="80">
        <f>A256</f>
        <v>0.1</v>
      </c>
      <c r="U3" s="66" t="s">
        <v>3117</v>
      </c>
      <c r="V3" s="81"/>
      <c r="W3" s="80">
        <f>A278</f>
        <v>0.05</v>
      </c>
      <c r="X3" s="66" t="s">
        <v>3117</v>
      </c>
      <c r="Y3" s="81"/>
      <c r="Z3" s="81"/>
      <c r="AA3" s="81"/>
      <c r="AB3" s="81"/>
      <c r="AC3" s="81"/>
      <c r="AD3" s="81"/>
      <c r="AE3" s="81"/>
      <c r="AF3" s="81"/>
      <c r="AG3" s="81"/>
      <c r="AH3" s="81"/>
      <c r="AI3" s="81"/>
      <c r="AJ3" s="81"/>
      <c r="AK3" s="81"/>
      <c r="AL3" s="81"/>
      <c r="AM3" s="81"/>
      <c r="AN3" s="81"/>
      <c r="AO3" s="81"/>
      <c r="AP3" s="81"/>
    </row>
    <row r="4" s="61" customFormat="1" ht="28.5" customHeight="1" spans="1:42">
      <c r="A4" s="76"/>
      <c r="B4" s="77"/>
      <c r="C4" s="78"/>
      <c r="D4" s="79"/>
      <c r="E4" s="75"/>
      <c r="F4" s="73">
        <f>IF(OR(E2="",E2="Please Check The LED Series",D2="",D2=0),"Please Check LED or Current",INDEX(C146:V165,MATCH(D2,B146:B165,1),MATCH(E2,C13:V13,0)))</f>
        <v>0.8777</v>
      </c>
      <c r="G4" s="81"/>
      <c r="H4" s="75"/>
      <c r="I4" s="73">
        <f>IF(OR(E2="",E2="Please Check The LED Series",D2="",D2=0),"Please Check LED or Current",INDEX(C168:V187,MATCH(D2,B168:B187,1),MATCH(E2,C13:V13,0)))</f>
        <v>0.8715</v>
      </c>
      <c r="J4" s="81"/>
      <c r="K4" s="75"/>
      <c r="L4" s="73">
        <f>IF(OR(E2="",E2="Please Check The LED Series",D2="",D2=0),"Please Check LED or Current",INDEX(C190:V209,MATCH(D2,B190:B209,1),MATCH(E2,C13:V13,0)))</f>
        <v>0.8718</v>
      </c>
      <c r="M4" s="81"/>
      <c r="N4" s="75"/>
      <c r="O4" s="73">
        <f>IF(OR(E2="",E2="Please Check The LED Series",D2="",D2=0),"Please Check LED or Current",INDEX(C212:V231,MATCH(D2,B212:B231,1),MATCH(E2,C13:V13,0)))</f>
        <v>0.8702</v>
      </c>
      <c r="P4" s="81"/>
      <c r="Q4" s="75"/>
      <c r="R4" s="73">
        <f>IF(OR(E2="",E2="Please Check The LED Series",D2="",D2=0),"Please Check LED or Current",INDEX(C234:V253,MATCH(D2,B234:B253,1),MATCH(E2,C13:V13,0)))</f>
        <v>0.8253</v>
      </c>
      <c r="S4" s="81"/>
      <c r="T4" s="75"/>
      <c r="U4" s="73">
        <f>IF(OR(E2="",E2="Please Check The LED Series",D2="",D2=0),"Please Check LED or Current",INDEX(C256:V275,MATCH(D2,B256:B275,1),MATCH(E2,C13:V13,0)))</f>
        <v>0.774</v>
      </c>
      <c r="V4" s="81"/>
      <c r="W4" s="75"/>
      <c r="X4" s="73">
        <f>IF(OR(E2="",E2="Please Check The LED Series",D2="",D2=0),"Please Check LED or Current",INDEX(C278:V297,MATCH(D2,B278:B297,1),MATCH(E2,C13:V13,0)))</f>
        <v>0.7338</v>
      </c>
      <c r="Y4" s="81"/>
      <c r="Z4" s="81"/>
      <c r="AA4" s="81"/>
      <c r="AB4" s="81"/>
      <c r="AC4" s="81"/>
      <c r="AD4" s="81"/>
      <c r="AE4" s="81"/>
      <c r="AF4" s="81"/>
      <c r="AG4" s="81"/>
      <c r="AH4" s="81"/>
      <c r="AI4" s="81"/>
      <c r="AJ4" s="81"/>
      <c r="AK4" s="81"/>
      <c r="AL4" s="81"/>
      <c r="AM4" s="81"/>
      <c r="AN4" s="81"/>
      <c r="AO4" s="81"/>
      <c r="AP4" s="81"/>
    </row>
    <row r="5" s="61" customFormat="1" ht="28.5" customHeight="1" spans="1:42">
      <c r="A5" s="76"/>
      <c r="B5" s="77"/>
      <c r="C5" s="66"/>
      <c r="D5" s="66" t="s">
        <v>3008</v>
      </c>
      <c r="E5" s="66" t="s">
        <v>3116</v>
      </c>
      <c r="F5" s="66" t="s">
        <v>3117</v>
      </c>
      <c r="G5" s="67"/>
      <c r="H5" s="68">
        <f>H1</f>
        <v>0.6</v>
      </c>
      <c r="I5" s="66" t="s">
        <v>3117</v>
      </c>
      <c r="J5" s="67"/>
      <c r="K5" s="68">
        <f>K1</f>
        <v>0.55</v>
      </c>
      <c r="L5" s="66" t="s">
        <v>3117</v>
      </c>
      <c r="M5" s="67"/>
      <c r="N5" s="80">
        <f>N1</f>
        <v>0.5</v>
      </c>
      <c r="O5" s="66" t="s">
        <v>3117</v>
      </c>
      <c r="P5" s="67"/>
      <c r="Q5" s="80">
        <f>Q1</f>
        <v>0.45</v>
      </c>
      <c r="R5" s="66" t="s">
        <v>3117</v>
      </c>
      <c r="S5" s="67"/>
      <c r="T5" s="80">
        <f>T1</f>
        <v>0.4</v>
      </c>
      <c r="U5" s="66" t="s">
        <v>3117</v>
      </c>
      <c r="V5" s="67"/>
      <c r="W5" s="67"/>
      <c r="X5" s="67"/>
      <c r="Y5" s="81"/>
      <c r="Z5" s="81"/>
      <c r="AA5" s="81"/>
      <c r="AB5" s="81"/>
      <c r="AC5" s="81"/>
      <c r="AD5" s="81"/>
      <c r="AE5" s="81"/>
      <c r="AF5" s="81"/>
      <c r="AG5" s="81"/>
      <c r="AH5" s="81"/>
      <c r="AI5" s="81"/>
      <c r="AJ5" s="81"/>
      <c r="AK5" s="81"/>
      <c r="AL5" s="81"/>
      <c r="AM5" s="81"/>
      <c r="AN5" s="81"/>
      <c r="AO5" s="81"/>
      <c r="AP5" s="81"/>
    </row>
    <row r="6" s="61" customFormat="1" ht="28.5" customHeight="1" spans="1:42">
      <c r="A6" s="76"/>
      <c r="B6" s="77"/>
      <c r="C6" s="82">
        <f>B1</f>
        <v>0.65</v>
      </c>
      <c r="D6" s="72">
        <f>D2</f>
        <v>22</v>
      </c>
      <c r="E6" s="73" t="str">
        <f>IF(OR(亮度與BLU功耗!E16="",亮度與BLU功耗!E18=""),"",亮度與BLU功耗!E17&amp;"*"&amp;亮度與BLU功耗!E18)</f>
        <v>3*11</v>
      </c>
      <c r="F6" s="73">
        <f>IF(OR(E2="",E2="Please Check The LED Series",D2="",D2=0),"Please Check LED or Current",INDEX(C14:V33,MATCH(D2,B14:B33,1),MATCH(E6,C13:V13,0)))</f>
        <v>0.8867</v>
      </c>
      <c r="G6" s="74"/>
      <c r="H6" s="75"/>
      <c r="I6" s="73">
        <f>IF(OR(E2="",E2="Please Check The LED Series",D2="",D2=0),"Please Check LED or Current",INDEX(C36:V55,MATCH(D2,B36:B55,1),MATCH(E6,C13:V13,0)))</f>
        <v>0.8978</v>
      </c>
      <c r="J6" s="74"/>
      <c r="K6" s="75"/>
      <c r="L6" s="73">
        <f>IF(OR(E2="",E2="Please Check The LED Series",D2="",D2=0),"Please Check LED or Current",INDEX(C58:V77,MATCH(D2,B58:B77,1),MATCH(E6,C13:V13,0)))</f>
        <v>0.8744</v>
      </c>
      <c r="M6" s="74"/>
      <c r="N6" s="75"/>
      <c r="O6" s="73">
        <f>IF(OR(E2="",E2="Please Check The LED Series",D2="",D2=0),"Please Check LED or Current",INDEX(C80:V99,MATCH(D2,B80:B99,1),MATCH(E6,C13:V13,0)))</f>
        <v>0.8667</v>
      </c>
      <c r="P6" s="74"/>
      <c r="Q6" s="75"/>
      <c r="R6" s="73">
        <f>IF(OR(E2="",E2="Please Check The LED Series",D2="",D2=0),"Please Check LED or Current",INDEX(C102:V121,MATCH(D2,B102:B121,1),MATCH(E6,C13:V13,0)))</f>
        <v>0.8744</v>
      </c>
      <c r="S6" s="74"/>
      <c r="T6" s="75"/>
      <c r="U6" s="73">
        <f>IF(OR(E2="",E2="Please Check The LED Series",D2="",D2=0),"Please Check LED or Current",INDEX(C124:V143,MATCH(D2,B124:B143,1),MATCH(E6,C13:V13,0)))</f>
        <v>0.8736</v>
      </c>
      <c r="V6" s="74"/>
      <c r="W6" s="74"/>
      <c r="X6" s="74"/>
      <c r="Y6" s="81"/>
      <c r="Z6" s="81"/>
      <c r="AA6" s="81"/>
      <c r="AB6" s="81"/>
      <c r="AC6" s="81"/>
      <c r="AD6" s="81"/>
      <c r="AE6" s="81"/>
      <c r="AF6" s="81"/>
      <c r="AG6" s="81"/>
      <c r="AH6" s="81"/>
      <c r="AI6" s="81"/>
      <c r="AJ6" s="81"/>
      <c r="AK6" s="81"/>
      <c r="AL6" s="81"/>
      <c r="AM6" s="81"/>
      <c r="AN6" s="81"/>
      <c r="AO6" s="81"/>
      <c r="AP6" s="81"/>
    </row>
    <row r="7" s="61" customFormat="1" ht="28.5" customHeight="1" spans="1:42">
      <c r="A7" s="76"/>
      <c r="B7" s="77"/>
      <c r="C7" s="78"/>
      <c r="D7" s="79"/>
      <c r="E7" s="80">
        <f>E3</f>
        <v>0.35</v>
      </c>
      <c r="F7" s="66" t="s">
        <v>3117</v>
      </c>
      <c r="G7" s="81"/>
      <c r="H7" s="80">
        <f>H3</f>
        <v>0.3</v>
      </c>
      <c r="I7" s="66" t="s">
        <v>3117</v>
      </c>
      <c r="J7" s="81"/>
      <c r="K7" s="80">
        <f>K3</f>
        <v>0.25</v>
      </c>
      <c r="L7" s="66" t="s">
        <v>3117</v>
      </c>
      <c r="M7" s="81"/>
      <c r="N7" s="80">
        <f>N3</f>
        <v>0.2</v>
      </c>
      <c r="O7" s="66" t="s">
        <v>3117</v>
      </c>
      <c r="P7" s="81"/>
      <c r="Q7" s="80">
        <f>Q3</f>
        <v>0.15</v>
      </c>
      <c r="R7" s="66" t="s">
        <v>3117</v>
      </c>
      <c r="S7" s="81"/>
      <c r="T7" s="80">
        <f>T3</f>
        <v>0.1</v>
      </c>
      <c r="U7" s="66" t="s">
        <v>3117</v>
      </c>
      <c r="V7" s="81"/>
      <c r="W7" s="80">
        <f>W3</f>
        <v>0.05</v>
      </c>
      <c r="X7" s="66" t="s">
        <v>3117</v>
      </c>
      <c r="Y7" s="81"/>
      <c r="Z7" s="81"/>
      <c r="AA7" s="81"/>
      <c r="AB7" s="81"/>
      <c r="AC7" s="81"/>
      <c r="AD7" s="81"/>
      <c r="AE7" s="81"/>
      <c r="AF7" s="81"/>
      <c r="AG7" s="81"/>
      <c r="AH7" s="81"/>
      <c r="AI7" s="81"/>
      <c r="AJ7" s="81"/>
      <c r="AK7" s="81"/>
      <c r="AL7" s="81"/>
      <c r="AM7" s="81"/>
      <c r="AN7" s="81"/>
      <c r="AO7" s="81"/>
      <c r="AP7" s="81"/>
    </row>
    <row r="8" s="61" customFormat="1" ht="28.5" customHeight="1" spans="1:42">
      <c r="A8" s="76"/>
      <c r="B8" s="77"/>
      <c r="C8" s="78"/>
      <c r="D8" s="79"/>
      <c r="E8" s="75"/>
      <c r="F8" s="73">
        <f>IF(OR(E2="",E2="Please Check The LED Series",D2="",D2=0),"Please Check LED or Current",INDEX(C146:V165,MATCH(D2,B146:B165,1),MATCH(E6,C13:V13,0)))</f>
        <v>0.8801</v>
      </c>
      <c r="G8" s="81"/>
      <c r="H8" s="75"/>
      <c r="I8" s="73">
        <f>IF(OR(E2="",E2="Please Check The LED Series",D2="",D2=0),"Please Check LED or Current",INDEX(C168:V187,MATCH(D2,B168:B187,1),MATCH(E6,C13:V13,0)))</f>
        <v>0.8568</v>
      </c>
      <c r="J8" s="81"/>
      <c r="K8" s="75"/>
      <c r="L8" s="73">
        <f>IF(OR(E2="",E2="Please Check The LED Series",D2="",D2=0),"Please Check LED or Current",INDEX(C190:V209,MATCH(D2,B190:B209,1),MATCH(E6,C13:V13,0)))</f>
        <v>0.8292</v>
      </c>
      <c r="M8" s="81"/>
      <c r="N8" s="75"/>
      <c r="O8" s="73">
        <f>IF(OR(E2="",E2="Please Check The LED Series",D2="",D2=0),"Please Check LED or Current",INDEX(C212:V231,MATCH(D2,B212:B231,1),MATCH(E6,C13:V13,0)))</f>
        <v>0.7957</v>
      </c>
      <c r="P8" s="81"/>
      <c r="Q8" s="75"/>
      <c r="R8" s="73">
        <f>IF(OR(E2="",E2="Please Check The LED Series",D2="",D2=0),"Please Check LED or Current",INDEX(C234:V253,MATCH(D2,B234:B253,1),MATCH(E6,C13:V13,0)))</f>
        <v>0.7671</v>
      </c>
      <c r="S8" s="81"/>
      <c r="T8" s="75"/>
      <c r="U8" s="73">
        <f>IF(OR(E2="",E2="Please Check The LED Series",D2="",D2=0),"Please Check LED or Current",INDEX(C256:V275,MATCH(D2,B256:B275,1),MATCH(E6,C13:V13,0)))</f>
        <v>0.7509</v>
      </c>
      <c r="V8" s="81"/>
      <c r="W8" s="75"/>
      <c r="X8" s="73">
        <f>IF(OR(E2="",E2="Please Check The LED Series",D2="",D2=0),"Please Check LED or Current",INDEX(C278:V297,MATCH(D2,B278:B297,1),MATCH(E6,C13:V13,0)))</f>
        <v>0.5911</v>
      </c>
      <c r="Y8" s="81"/>
      <c r="Z8" s="81"/>
      <c r="AA8" s="81"/>
      <c r="AB8" s="81"/>
      <c r="AC8" s="81"/>
      <c r="AD8" s="81"/>
      <c r="AE8" s="81"/>
      <c r="AF8" s="81"/>
      <c r="AG8" s="81"/>
      <c r="AH8" s="81"/>
      <c r="AI8" s="81"/>
      <c r="AJ8" s="81"/>
      <c r="AK8" s="81"/>
      <c r="AL8" s="81"/>
      <c r="AM8" s="81"/>
      <c r="AN8" s="81"/>
      <c r="AO8" s="81"/>
      <c r="AP8" s="81"/>
    </row>
    <row r="9" ht="40.5" customHeight="1" spans="1:22">
      <c r="A9" s="83" t="s">
        <v>3118</v>
      </c>
      <c r="B9" s="83"/>
      <c r="C9" s="83"/>
      <c r="D9" s="83"/>
      <c r="E9" s="83"/>
      <c r="F9" s="83"/>
      <c r="G9" s="83"/>
      <c r="H9" s="83"/>
      <c r="I9" s="83"/>
      <c r="J9" s="83"/>
      <c r="K9" s="83"/>
      <c r="L9" s="83"/>
      <c r="M9" s="83"/>
      <c r="N9" s="83"/>
      <c r="O9" s="83"/>
      <c r="P9" s="83"/>
      <c r="Q9" s="83"/>
      <c r="R9" s="83"/>
      <c r="S9" s="83"/>
      <c r="T9" s="83"/>
      <c r="U9" s="83"/>
      <c r="V9" s="83"/>
    </row>
    <row r="10" ht="28.5" customHeight="1" spans="1:22">
      <c r="A10" s="83"/>
      <c r="B10" s="84"/>
      <c r="C10" s="83"/>
      <c r="D10" s="83"/>
      <c r="E10" s="83"/>
      <c r="F10" s="83"/>
      <c r="G10" s="83"/>
      <c r="H10" s="83"/>
      <c r="I10" s="83"/>
      <c r="J10" s="83"/>
      <c r="K10" s="83"/>
      <c r="L10" s="83"/>
      <c r="M10" s="83"/>
      <c r="N10" s="83"/>
      <c r="O10" s="83"/>
      <c r="P10" s="83"/>
      <c r="Q10" s="83"/>
      <c r="R10" s="83"/>
      <c r="S10" s="83"/>
      <c r="T10" s="83"/>
      <c r="U10" s="83"/>
      <c r="V10" s="83"/>
    </row>
    <row r="11" ht="16.2" spans="2:22">
      <c r="B11" s="85" t="s">
        <v>3119</v>
      </c>
      <c r="C11" s="86">
        <v>3</v>
      </c>
      <c r="D11" s="87"/>
      <c r="E11" s="87"/>
      <c r="F11" s="87"/>
      <c r="G11" s="88"/>
      <c r="H11" s="89">
        <v>4</v>
      </c>
      <c r="I11" s="90"/>
      <c r="J11" s="90"/>
      <c r="K11" s="90"/>
      <c r="L11" s="91"/>
      <c r="M11" s="104">
        <v>5</v>
      </c>
      <c r="N11" s="105"/>
      <c r="O11" s="105"/>
      <c r="P11" s="105"/>
      <c r="Q11" s="106"/>
      <c r="R11" s="107">
        <v>6</v>
      </c>
      <c r="S11" s="108"/>
      <c r="T11" s="108"/>
      <c r="U11" s="108"/>
      <c r="V11" s="109"/>
    </row>
    <row r="12" ht="16.2" spans="2:22">
      <c r="B12" s="92" t="s">
        <v>3120</v>
      </c>
      <c r="C12" s="93">
        <v>8</v>
      </c>
      <c r="D12" s="93">
        <v>9</v>
      </c>
      <c r="E12" s="93">
        <v>10</v>
      </c>
      <c r="F12" s="93">
        <v>11</v>
      </c>
      <c r="G12" s="93">
        <v>12</v>
      </c>
      <c r="H12" s="94">
        <v>8</v>
      </c>
      <c r="I12" s="94">
        <v>9</v>
      </c>
      <c r="J12" s="94">
        <v>10</v>
      </c>
      <c r="K12" s="94">
        <v>11</v>
      </c>
      <c r="L12" s="94">
        <v>12</v>
      </c>
      <c r="M12" s="110">
        <v>8</v>
      </c>
      <c r="N12" s="110">
        <v>9</v>
      </c>
      <c r="O12" s="110">
        <v>10</v>
      </c>
      <c r="P12" s="110">
        <v>11</v>
      </c>
      <c r="Q12" s="110">
        <v>12</v>
      </c>
      <c r="R12" s="111">
        <v>8</v>
      </c>
      <c r="S12" s="111">
        <v>9</v>
      </c>
      <c r="T12" s="111">
        <v>10</v>
      </c>
      <c r="U12" s="111">
        <v>11</v>
      </c>
      <c r="V12" s="111">
        <v>12</v>
      </c>
    </row>
    <row r="13" ht="40.5" customHeight="1" spans="1:22">
      <c r="A13" s="95" t="s">
        <v>3121</v>
      </c>
      <c r="B13" s="96" t="s">
        <v>3122</v>
      </c>
      <c r="C13" s="97" t="s">
        <v>3123</v>
      </c>
      <c r="D13" s="97" t="s">
        <v>3124</v>
      </c>
      <c r="E13" s="97" t="s">
        <v>3125</v>
      </c>
      <c r="F13" s="97" t="s">
        <v>3126</v>
      </c>
      <c r="G13" s="97" t="s">
        <v>3127</v>
      </c>
      <c r="H13" s="97" t="s">
        <v>3129</v>
      </c>
      <c r="I13" s="97" t="s">
        <v>3130</v>
      </c>
      <c r="J13" s="97" t="s">
        <v>3131</v>
      </c>
      <c r="K13" s="97" t="s">
        <v>3132</v>
      </c>
      <c r="L13" s="97" t="s">
        <v>3133</v>
      </c>
      <c r="M13" s="97" t="s">
        <v>3135</v>
      </c>
      <c r="N13" s="97" t="s">
        <v>3136</v>
      </c>
      <c r="O13" s="97" t="s">
        <v>3137</v>
      </c>
      <c r="P13" s="97" t="s">
        <v>3138</v>
      </c>
      <c r="Q13" s="97" t="s">
        <v>3139</v>
      </c>
      <c r="R13" s="97" t="s">
        <v>3141</v>
      </c>
      <c r="S13" s="97" t="s">
        <v>3142</v>
      </c>
      <c r="T13" s="97" t="s">
        <v>3143</v>
      </c>
      <c r="U13" s="97" t="s">
        <v>3144</v>
      </c>
      <c r="V13" s="97" t="s">
        <v>3145</v>
      </c>
    </row>
    <row r="14" s="62" customFormat="1" ht="15" spans="1:22">
      <c r="A14" s="98">
        <v>0.65</v>
      </c>
      <c r="B14" s="99">
        <v>6</v>
      </c>
      <c r="C14" s="102">
        <v>0.7788</v>
      </c>
      <c r="D14" s="102">
        <v>0.7786</v>
      </c>
      <c r="E14" s="102">
        <v>0.7751</v>
      </c>
      <c r="F14" s="102">
        <v>0.7783</v>
      </c>
      <c r="G14" s="102">
        <v>0.7852</v>
      </c>
      <c r="H14" s="102">
        <v>0.8167</v>
      </c>
      <c r="I14" s="102">
        <v>0.8142</v>
      </c>
      <c r="J14" s="102">
        <v>0.8152</v>
      </c>
      <c r="K14" s="102">
        <v>0.8194</v>
      </c>
      <c r="L14" s="102">
        <v>0.8245</v>
      </c>
      <c r="M14" s="102">
        <v>0.8581</v>
      </c>
      <c r="N14" s="102">
        <v>0.8535</v>
      </c>
      <c r="O14" s="102">
        <v>0.8527</v>
      </c>
      <c r="P14" s="102">
        <v>0.857</v>
      </c>
      <c r="Q14" s="102">
        <v>0.8575</v>
      </c>
      <c r="R14" s="102">
        <v>0.8833</v>
      </c>
      <c r="S14" s="102">
        <v>0.8817</v>
      </c>
      <c r="T14" s="102">
        <v>0.8798</v>
      </c>
      <c r="U14" s="102">
        <v>0.879</v>
      </c>
      <c r="V14" s="102">
        <v>0.8724</v>
      </c>
    </row>
    <row r="15" s="62" customFormat="1" ht="15" spans="1:22">
      <c r="A15" s="98"/>
      <c r="B15" s="99">
        <v>7</v>
      </c>
      <c r="C15" s="102">
        <v>0.7968</v>
      </c>
      <c r="D15" s="102">
        <v>0.7948</v>
      </c>
      <c r="E15" s="102">
        <v>0.7918</v>
      </c>
      <c r="F15" s="102">
        <v>0.799</v>
      </c>
      <c r="G15" s="102">
        <v>0.8053</v>
      </c>
      <c r="H15" s="102">
        <v>0.8422</v>
      </c>
      <c r="I15" s="102">
        <v>0.8441</v>
      </c>
      <c r="J15" s="102">
        <v>0.8414</v>
      </c>
      <c r="K15" s="102">
        <v>0.8448</v>
      </c>
      <c r="L15" s="102">
        <v>0.8474</v>
      </c>
      <c r="M15" s="102">
        <v>0.8818</v>
      </c>
      <c r="N15" s="102">
        <v>0.8798</v>
      </c>
      <c r="O15" s="102">
        <v>0.8757</v>
      </c>
      <c r="P15" s="102">
        <v>0.876</v>
      </c>
      <c r="Q15" s="102">
        <v>0.8697</v>
      </c>
      <c r="R15" s="102">
        <v>0.8869</v>
      </c>
      <c r="S15" s="102">
        <v>0.884</v>
      </c>
      <c r="T15" s="102">
        <v>0.8753</v>
      </c>
      <c r="U15" s="102">
        <v>0.8706</v>
      </c>
      <c r="V15" s="102">
        <v>0.8659</v>
      </c>
    </row>
    <row r="16" s="62" customFormat="1" ht="15" spans="1:22">
      <c r="A16" s="98"/>
      <c r="B16" s="99">
        <v>8</v>
      </c>
      <c r="C16" s="102">
        <v>0.8152</v>
      </c>
      <c r="D16" s="102">
        <v>0.812</v>
      </c>
      <c r="E16" s="102">
        <v>0.8127</v>
      </c>
      <c r="F16" s="112">
        <v>0.8189</v>
      </c>
      <c r="G16" s="102">
        <v>0.8246</v>
      </c>
      <c r="H16" s="102">
        <v>0.8687</v>
      </c>
      <c r="I16" s="102">
        <v>0.866</v>
      </c>
      <c r="J16" s="102">
        <v>0.8644</v>
      </c>
      <c r="K16" s="102">
        <v>0.8649</v>
      </c>
      <c r="L16" s="102">
        <v>0.8669</v>
      </c>
      <c r="M16" s="102">
        <v>0.8843</v>
      </c>
      <c r="N16" s="102">
        <v>0.8828</v>
      </c>
      <c r="O16" s="102">
        <v>0.8781</v>
      </c>
      <c r="P16" s="102">
        <v>0.8714</v>
      </c>
      <c r="Q16" s="102">
        <v>0.865</v>
      </c>
      <c r="R16" s="102">
        <v>0.8826</v>
      </c>
      <c r="S16" s="102">
        <v>0.8778</v>
      </c>
      <c r="T16" s="102">
        <v>0.8717</v>
      </c>
      <c r="U16" s="102">
        <v>0.8668</v>
      </c>
      <c r="V16" s="102">
        <v>0.864</v>
      </c>
    </row>
    <row r="17" s="62" customFormat="1" ht="15" spans="1:22">
      <c r="A17" s="98"/>
      <c r="B17" s="99">
        <v>9</v>
      </c>
      <c r="C17" s="102">
        <v>0.8331</v>
      </c>
      <c r="D17" s="102">
        <v>0.8325</v>
      </c>
      <c r="E17" s="102">
        <v>0.83</v>
      </c>
      <c r="F17" s="102">
        <v>0.834</v>
      </c>
      <c r="G17" s="102">
        <v>0.8453</v>
      </c>
      <c r="H17" s="102">
        <v>0.882</v>
      </c>
      <c r="I17" s="102">
        <v>0.8809</v>
      </c>
      <c r="J17" s="102">
        <v>0.8804</v>
      </c>
      <c r="K17" s="102">
        <v>0.875</v>
      </c>
      <c r="L17" s="102">
        <v>0.8683</v>
      </c>
      <c r="M17" s="102">
        <v>0.8804</v>
      </c>
      <c r="N17" s="102">
        <v>0.8748</v>
      </c>
      <c r="O17" s="102">
        <v>0.8686</v>
      </c>
      <c r="P17" s="102">
        <v>0.866</v>
      </c>
      <c r="Q17" s="102">
        <v>0.8613</v>
      </c>
      <c r="R17" s="102">
        <v>0.8791</v>
      </c>
      <c r="S17" s="102">
        <v>0.8775</v>
      </c>
      <c r="T17" s="102">
        <v>0.8723</v>
      </c>
      <c r="U17" s="102">
        <v>0.8731</v>
      </c>
      <c r="V17" s="102">
        <v>0.8665</v>
      </c>
    </row>
    <row r="18" s="62" customFormat="1" ht="15" spans="1:22">
      <c r="A18" s="98"/>
      <c r="B18" s="99">
        <v>10</v>
      </c>
      <c r="C18" s="102">
        <v>0.8539</v>
      </c>
      <c r="D18" s="102">
        <v>0.8495</v>
      </c>
      <c r="E18" s="102">
        <v>0.8523</v>
      </c>
      <c r="F18" s="102">
        <v>0.8546</v>
      </c>
      <c r="G18" s="102">
        <v>0.8598</v>
      </c>
      <c r="H18" s="102">
        <v>0.8826</v>
      </c>
      <c r="I18" s="102">
        <v>0.8812</v>
      </c>
      <c r="J18" s="102">
        <v>0.8738</v>
      </c>
      <c r="K18" s="102">
        <v>0.869</v>
      </c>
      <c r="L18" s="102">
        <v>0.8621</v>
      </c>
      <c r="M18" s="102">
        <v>0.8774</v>
      </c>
      <c r="N18" s="102">
        <v>0.8737</v>
      </c>
      <c r="O18" s="102">
        <v>0.8693</v>
      </c>
      <c r="P18" s="102">
        <v>0.8667</v>
      </c>
      <c r="Q18" s="102">
        <v>0.8643</v>
      </c>
      <c r="R18" s="102">
        <v>0.8856</v>
      </c>
      <c r="S18" s="102">
        <v>0.8822</v>
      </c>
      <c r="T18" s="102">
        <v>0.8756</v>
      </c>
      <c r="U18" s="102">
        <v>0.8759</v>
      </c>
      <c r="V18" s="102">
        <v>0.8759</v>
      </c>
    </row>
    <row r="19" s="62" customFormat="1" ht="15" spans="1:22">
      <c r="A19" s="98"/>
      <c r="B19" s="99">
        <v>11</v>
      </c>
      <c r="C19" s="102">
        <v>0.8697</v>
      </c>
      <c r="D19" s="102">
        <v>0.8674</v>
      </c>
      <c r="E19" s="102">
        <v>0.8671</v>
      </c>
      <c r="F19" s="112">
        <v>0.8689</v>
      </c>
      <c r="G19" s="102">
        <v>0.8683</v>
      </c>
      <c r="H19" s="102">
        <v>0.8763</v>
      </c>
      <c r="I19" s="102">
        <v>0.8754</v>
      </c>
      <c r="J19" s="102">
        <v>0.8685</v>
      </c>
      <c r="K19" s="102">
        <v>0.8664</v>
      </c>
      <c r="L19" s="102">
        <v>0.8633</v>
      </c>
      <c r="M19" s="102">
        <v>0.8812</v>
      </c>
      <c r="N19" s="102">
        <v>0.8757</v>
      </c>
      <c r="O19" s="102">
        <v>0.8705</v>
      </c>
      <c r="P19" s="102">
        <v>0.87</v>
      </c>
      <c r="Q19" s="102">
        <v>0.8687</v>
      </c>
      <c r="R19" s="102">
        <v>0.8933</v>
      </c>
      <c r="S19" s="102">
        <v>0.8874</v>
      </c>
      <c r="T19" s="102">
        <v>0.8852</v>
      </c>
      <c r="U19" s="102">
        <v>0.885</v>
      </c>
      <c r="V19" s="102">
        <v>0.8857</v>
      </c>
    </row>
    <row r="20" s="62" customFormat="1" ht="15" spans="1:22">
      <c r="A20" s="98"/>
      <c r="B20" s="99">
        <v>12</v>
      </c>
      <c r="C20" s="102">
        <v>0.8814</v>
      </c>
      <c r="D20" s="102">
        <v>0.8818</v>
      </c>
      <c r="E20" s="102">
        <v>0.8798</v>
      </c>
      <c r="F20" s="112">
        <v>0.8776</v>
      </c>
      <c r="G20" s="102">
        <v>0.8673</v>
      </c>
      <c r="H20" s="102">
        <v>0.8789</v>
      </c>
      <c r="I20" s="102">
        <v>0.8756</v>
      </c>
      <c r="J20" s="102">
        <v>0.8677</v>
      </c>
      <c r="K20" s="102">
        <v>0.8658</v>
      </c>
      <c r="L20" s="102">
        <v>0.8626</v>
      </c>
      <c r="M20" s="102">
        <v>0.8835</v>
      </c>
      <c r="N20" s="102">
        <v>0.882</v>
      </c>
      <c r="O20" s="102">
        <v>0.8767</v>
      </c>
      <c r="P20" s="102">
        <v>0.8754</v>
      </c>
      <c r="Q20" s="102">
        <v>0.8761</v>
      </c>
      <c r="R20" s="102">
        <v>0.9002</v>
      </c>
      <c r="S20" s="102">
        <v>0.8966</v>
      </c>
      <c r="T20" s="102">
        <v>0.893</v>
      </c>
      <c r="U20" s="102">
        <v>0.8947</v>
      </c>
      <c r="V20" s="102">
        <v>0.8946</v>
      </c>
    </row>
    <row r="21" s="62" customFormat="1" ht="15" spans="1:22">
      <c r="A21" s="98"/>
      <c r="B21" s="99">
        <v>13</v>
      </c>
      <c r="C21" s="113">
        <v>0.8869</v>
      </c>
      <c r="D21" s="113">
        <v>0.8852</v>
      </c>
      <c r="E21" s="113">
        <v>0.8797</v>
      </c>
      <c r="F21" s="112">
        <v>0.8756</v>
      </c>
      <c r="G21" s="113">
        <v>0.8636</v>
      </c>
      <c r="H21" s="102">
        <v>0.883</v>
      </c>
      <c r="I21" s="102">
        <v>0.878</v>
      </c>
      <c r="J21" s="102">
        <v>0.8723</v>
      </c>
      <c r="K21" s="102">
        <v>0.8692</v>
      </c>
      <c r="L21" s="102">
        <v>0.868</v>
      </c>
      <c r="M21" s="102">
        <v>0.894</v>
      </c>
      <c r="N21" s="102">
        <v>0.8891</v>
      </c>
      <c r="O21" s="102">
        <v>0.8848</v>
      </c>
      <c r="P21" s="102">
        <v>0.8875</v>
      </c>
      <c r="Q21" s="102">
        <v>0.8864</v>
      </c>
      <c r="R21" s="102">
        <v>0.9136</v>
      </c>
      <c r="S21" s="102">
        <v>0.9072</v>
      </c>
      <c r="T21" s="102">
        <v>0.9071</v>
      </c>
      <c r="U21" s="102">
        <v>0.9061</v>
      </c>
      <c r="V21" s="102">
        <v>0.8949</v>
      </c>
    </row>
    <row r="22" s="62" customFormat="1" ht="15" spans="1:22">
      <c r="A22" s="98"/>
      <c r="B22" s="99">
        <v>14</v>
      </c>
      <c r="C22" s="113">
        <v>0.8904</v>
      </c>
      <c r="D22" s="113">
        <v>0.8816</v>
      </c>
      <c r="E22" s="113">
        <v>0.874</v>
      </c>
      <c r="F22" s="112">
        <v>0.8726</v>
      </c>
      <c r="G22" s="113">
        <v>0.8616</v>
      </c>
      <c r="H22" s="102">
        <v>0.8833</v>
      </c>
      <c r="I22" s="102">
        <v>0.8792</v>
      </c>
      <c r="J22" s="102">
        <v>0.8737</v>
      </c>
      <c r="K22" s="102">
        <v>0.8729</v>
      </c>
      <c r="L22" s="102">
        <v>0.8745</v>
      </c>
      <c r="M22" s="102">
        <v>0.9004</v>
      </c>
      <c r="N22" s="102">
        <v>0.8973</v>
      </c>
      <c r="O22" s="102">
        <v>0.8941</v>
      </c>
      <c r="P22" s="102">
        <v>0.8938</v>
      </c>
      <c r="Q22" s="102">
        <v>0.8941</v>
      </c>
      <c r="R22" s="102">
        <v>0.9197</v>
      </c>
      <c r="S22" s="102">
        <v>0.9156</v>
      </c>
      <c r="T22" s="102">
        <v>0.9077</v>
      </c>
      <c r="U22" s="102">
        <v>0.9012</v>
      </c>
      <c r="V22" s="102">
        <v>0.8924</v>
      </c>
    </row>
    <row r="23" s="62" customFormat="1" ht="15" spans="1:22">
      <c r="A23" s="98"/>
      <c r="B23" s="99">
        <v>15</v>
      </c>
      <c r="C23" s="113">
        <v>0.8845</v>
      </c>
      <c r="D23" s="113">
        <v>0.8781</v>
      </c>
      <c r="E23" s="113">
        <v>0.8694</v>
      </c>
      <c r="F23" s="112">
        <v>0.8705</v>
      </c>
      <c r="G23" s="113">
        <v>0.8646</v>
      </c>
      <c r="H23" s="102">
        <v>0.8868</v>
      </c>
      <c r="I23" s="102">
        <v>0.8825</v>
      </c>
      <c r="J23" s="102">
        <v>0.8792</v>
      </c>
      <c r="K23" s="102">
        <v>0.8812</v>
      </c>
      <c r="L23" s="102">
        <v>0.8794</v>
      </c>
      <c r="M23" s="102">
        <v>0.91</v>
      </c>
      <c r="N23" s="102">
        <v>0.9031</v>
      </c>
      <c r="O23" s="102">
        <v>0.9014</v>
      </c>
      <c r="P23" s="102">
        <v>0.9012</v>
      </c>
      <c r="Q23" s="102">
        <v>0.8968</v>
      </c>
      <c r="R23" s="102">
        <v>0.9153</v>
      </c>
      <c r="S23" s="102">
        <v>0.9099</v>
      </c>
      <c r="T23" s="102">
        <v>0.9025</v>
      </c>
      <c r="U23" s="102">
        <v>0.8948</v>
      </c>
      <c r="V23" s="102">
        <v>0.8897</v>
      </c>
    </row>
    <row r="24" s="62" customFormat="1" ht="15" spans="1:22">
      <c r="A24" s="98"/>
      <c r="B24" s="99">
        <v>16</v>
      </c>
      <c r="C24" s="113">
        <v>0.8822</v>
      </c>
      <c r="D24" s="113">
        <v>0.8789</v>
      </c>
      <c r="E24" s="113">
        <v>0.8745</v>
      </c>
      <c r="F24" s="112">
        <v>0.8707</v>
      </c>
      <c r="G24" s="113">
        <v>0.8657</v>
      </c>
      <c r="H24" s="102">
        <v>0.8946</v>
      </c>
      <c r="I24" s="102">
        <v>0.8889</v>
      </c>
      <c r="J24" s="102">
        <v>0.8846</v>
      </c>
      <c r="K24" s="102">
        <v>0.8851</v>
      </c>
      <c r="L24" s="102">
        <v>0.8847</v>
      </c>
      <c r="M24" s="102">
        <v>0.9152</v>
      </c>
      <c r="N24" s="102">
        <v>0.9108</v>
      </c>
      <c r="O24" s="102">
        <v>0.9105</v>
      </c>
      <c r="P24" s="102">
        <v>0.9019</v>
      </c>
      <c r="Q24" s="102">
        <v>0.893</v>
      </c>
      <c r="R24" s="102">
        <v>0.9131</v>
      </c>
      <c r="S24" s="102">
        <v>0.9068</v>
      </c>
      <c r="T24" s="102">
        <v>0.8994</v>
      </c>
      <c r="U24" s="102">
        <v>0.8946</v>
      </c>
      <c r="V24" s="102">
        <v>0.8888</v>
      </c>
    </row>
    <row r="25" s="62" customFormat="1" ht="15" spans="1:22">
      <c r="A25" s="98"/>
      <c r="B25" s="99">
        <v>17</v>
      </c>
      <c r="C25" s="102">
        <v>0.8818</v>
      </c>
      <c r="D25" s="102">
        <v>0.8782</v>
      </c>
      <c r="E25" s="102">
        <v>0.8735</v>
      </c>
      <c r="F25" s="102">
        <v>0.8692</v>
      </c>
      <c r="G25" s="102">
        <v>0.8676</v>
      </c>
      <c r="H25" s="102">
        <v>0.9</v>
      </c>
      <c r="I25" s="102">
        <v>0.8937</v>
      </c>
      <c r="J25" s="102">
        <v>0.8893</v>
      </c>
      <c r="K25" s="102">
        <v>0.8911</v>
      </c>
      <c r="L25" s="102">
        <v>0.8935</v>
      </c>
      <c r="M25" s="102">
        <v>0.9167</v>
      </c>
      <c r="N25" s="102">
        <v>0.9112</v>
      </c>
      <c r="O25" s="102">
        <v>0.9049</v>
      </c>
      <c r="P25" s="102">
        <v>0.8957</v>
      </c>
      <c r="Q25" s="102">
        <v>0.8882</v>
      </c>
      <c r="R25" s="102">
        <v>0.9094</v>
      </c>
      <c r="S25" s="102">
        <v>0.9042</v>
      </c>
      <c r="T25" s="102">
        <v>0.8993</v>
      </c>
      <c r="U25" s="102">
        <v>0.892</v>
      </c>
      <c r="V25" s="102">
        <v>0.8899</v>
      </c>
    </row>
    <row r="26" s="62" customFormat="1" ht="15" spans="1:22">
      <c r="A26" s="98"/>
      <c r="B26" s="99">
        <v>18</v>
      </c>
      <c r="C26" s="102">
        <v>0.8831</v>
      </c>
      <c r="D26" s="102">
        <v>0.8771</v>
      </c>
      <c r="E26" s="102">
        <v>0.874</v>
      </c>
      <c r="F26" s="102">
        <v>0.8708</v>
      </c>
      <c r="G26" s="102">
        <v>0.8732</v>
      </c>
      <c r="H26" s="102">
        <v>0.9048</v>
      </c>
      <c r="I26" s="102">
        <v>0.8992</v>
      </c>
      <c r="J26" s="102">
        <v>0.899</v>
      </c>
      <c r="K26" s="102">
        <v>0.8991</v>
      </c>
      <c r="L26" s="102">
        <v>0.8988</v>
      </c>
      <c r="M26" s="102">
        <v>0.9146</v>
      </c>
      <c r="N26" s="102">
        <v>0.9079</v>
      </c>
      <c r="O26" s="102">
        <v>0.899</v>
      </c>
      <c r="P26" s="102">
        <v>0.8938</v>
      </c>
      <c r="Q26" s="102">
        <v>0.8874</v>
      </c>
      <c r="R26" s="102">
        <v>0.9097</v>
      </c>
      <c r="S26" s="102">
        <v>0.9044</v>
      </c>
      <c r="T26" s="102">
        <v>0.8968</v>
      </c>
      <c r="U26" s="102">
        <v>0.8957</v>
      </c>
      <c r="V26" s="102">
        <v>0.8927</v>
      </c>
    </row>
    <row r="27" s="62" customFormat="1" ht="15" spans="1:22">
      <c r="A27" s="98"/>
      <c r="B27" s="99">
        <v>19</v>
      </c>
      <c r="C27" s="102">
        <v>0.886</v>
      </c>
      <c r="D27" s="102">
        <v>0.8797</v>
      </c>
      <c r="E27" s="102">
        <v>0.8755</v>
      </c>
      <c r="F27" s="102">
        <v>0.8765</v>
      </c>
      <c r="G27" s="102">
        <v>0.8764</v>
      </c>
      <c r="H27" s="102">
        <v>0.9099</v>
      </c>
      <c r="I27" s="102">
        <v>0.9071</v>
      </c>
      <c r="J27" s="102">
        <v>0.905</v>
      </c>
      <c r="K27" s="102">
        <v>0.9033</v>
      </c>
      <c r="L27" s="102">
        <v>0.8948</v>
      </c>
      <c r="M27" s="102">
        <v>0.9104</v>
      </c>
      <c r="N27" s="102">
        <v>0.9065</v>
      </c>
      <c r="O27" s="102">
        <v>0.8982</v>
      </c>
      <c r="P27" s="102">
        <v>0.8901</v>
      </c>
      <c r="Q27" s="102">
        <v>0.8874</v>
      </c>
      <c r="R27" s="102">
        <v>0.9106</v>
      </c>
      <c r="S27" s="102">
        <v>0.9052</v>
      </c>
      <c r="T27" s="102">
        <v>0.9002</v>
      </c>
      <c r="U27" s="102">
        <v>0.8963</v>
      </c>
      <c r="V27" s="102">
        <v>0.8956</v>
      </c>
    </row>
    <row r="28" s="62" customFormat="1" ht="15" spans="1:22">
      <c r="A28" s="98"/>
      <c r="B28" s="99">
        <v>20</v>
      </c>
      <c r="C28" s="102">
        <v>0.8881</v>
      </c>
      <c r="D28" s="102">
        <v>0.8815</v>
      </c>
      <c r="E28" s="102">
        <v>0.8779</v>
      </c>
      <c r="F28" s="102">
        <v>0.8795</v>
      </c>
      <c r="G28" s="102">
        <v>0.8809</v>
      </c>
      <c r="H28" s="102">
        <v>0.9146</v>
      </c>
      <c r="I28" s="102">
        <v>0.9118</v>
      </c>
      <c r="J28" s="102">
        <v>0.9076</v>
      </c>
      <c r="K28" s="102">
        <v>0.9022</v>
      </c>
      <c r="L28" s="102">
        <v>0.8939</v>
      </c>
      <c r="M28" s="102">
        <v>0.908</v>
      </c>
      <c r="N28" s="102">
        <v>0.9029</v>
      </c>
      <c r="O28" s="102">
        <v>0.8953</v>
      </c>
      <c r="P28" s="102">
        <v>0.8936</v>
      </c>
      <c r="Q28" s="102">
        <v>0.8873</v>
      </c>
      <c r="R28" s="102">
        <v>0.9115</v>
      </c>
      <c r="S28" s="102">
        <v>0.9056</v>
      </c>
      <c r="T28" s="102">
        <v>0.9014</v>
      </c>
      <c r="U28" s="102">
        <v>0.9004</v>
      </c>
      <c r="V28" s="102">
        <v>0.8985</v>
      </c>
    </row>
    <row r="29" s="62" customFormat="1" ht="15" spans="1:22">
      <c r="A29" s="98"/>
      <c r="B29" s="99">
        <v>21</v>
      </c>
      <c r="C29" s="102">
        <v>0.8916</v>
      </c>
      <c r="D29" s="102">
        <v>0.8873</v>
      </c>
      <c r="E29" s="102">
        <v>0.8844</v>
      </c>
      <c r="F29" s="102">
        <v>0.8833</v>
      </c>
      <c r="G29" s="102">
        <v>0.8852</v>
      </c>
      <c r="H29" s="102">
        <v>0.9195</v>
      </c>
      <c r="I29" s="102">
        <v>0.9122</v>
      </c>
      <c r="J29" s="102">
        <v>0.9064</v>
      </c>
      <c r="K29" s="102">
        <v>0.897</v>
      </c>
      <c r="L29" s="102">
        <v>0.8892</v>
      </c>
      <c r="M29" s="102">
        <v>0.9102</v>
      </c>
      <c r="N29" s="102">
        <v>0.9039</v>
      </c>
      <c r="O29" s="102">
        <v>0.8976</v>
      </c>
      <c r="P29" s="102">
        <v>0.892</v>
      </c>
      <c r="Q29" s="102">
        <v>0.8887</v>
      </c>
      <c r="R29" s="102">
        <v>0.9152</v>
      </c>
      <c r="S29" s="102">
        <v>0.91</v>
      </c>
      <c r="T29" s="102">
        <v>0.9054</v>
      </c>
      <c r="U29" s="102">
        <v>0.9038</v>
      </c>
      <c r="V29" s="102">
        <v>0.9035</v>
      </c>
    </row>
    <row r="30" s="62" customFormat="1" ht="15" spans="1:22">
      <c r="A30" s="98"/>
      <c r="B30" s="99">
        <v>22</v>
      </c>
      <c r="C30" s="102">
        <v>0.8942</v>
      </c>
      <c r="D30" s="102">
        <v>0.8904</v>
      </c>
      <c r="E30" s="102">
        <v>0.8896</v>
      </c>
      <c r="F30" s="102">
        <v>0.8867</v>
      </c>
      <c r="G30" s="102">
        <v>0.892</v>
      </c>
      <c r="H30" s="102">
        <v>0.9158</v>
      </c>
      <c r="I30" s="102">
        <v>0.9102</v>
      </c>
      <c r="J30" s="102">
        <v>0.9017</v>
      </c>
      <c r="K30" s="102">
        <v>0.893</v>
      </c>
      <c r="L30" s="102">
        <v>0.8864</v>
      </c>
      <c r="M30" s="102">
        <v>0.9084</v>
      </c>
      <c r="N30" s="102">
        <v>0.9036</v>
      </c>
      <c r="O30" s="102">
        <v>0.8968</v>
      </c>
      <c r="P30" s="102">
        <v>0.8929</v>
      </c>
      <c r="Q30" s="102">
        <v>0.8929</v>
      </c>
      <c r="R30" s="102">
        <v>0.9183</v>
      </c>
      <c r="S30" s="102">
        <v>0.9113</v>
      </c>
      <c r="T30" s="102">
        <v>0.9094</v>
      </c>
      <c r="U30" s="102">
        <v>0.9094</v>
      </c>
      <c r="V30" s="102">
        <v>0.9027</v>
      </c>
    </row>
    <row r="31" s="62" customFormat="1" ht="15" spans="1:22">
      <c r="A31" s="98"/>
      <c r="B31" s="99">
        <v>23</v>
      </c>
      <c r="C31" s="102">
        <v>0.898</v>
      </c>
      <c r="D31" s="102">
        <v>0.8947</v>
      </c>
      <c r="E31" s="102">
        <v>0.893</v>
      </c>
      <c r="F31" s="102">
        <v>0.8946</v>
      </c>
      <c r="G31" s="102">
        <v>0.8967</v>
      </c>
      <c r="H31" s="102">
        <v>0.9118</v>
      </c>
      <c r="I31" s="102">
        <v>0.9059</v>
      </c>
      <c r="J31" s="102">
        <v>0.8974</v>
      </c>
      <c r="K31" s="102">
        <v>0.8927</v>
      </c>
      <c r="L31" s="102">
        <v>0.8895</v>
      </c>
      <c r="M31" s="102">
        <v>0.9095</v>
      </c>
      <c r="N31" s="102">
        <v>0.9028</v>
      </c>
      <c r="O31" s="102">
        <v>0.8991</v>
      </c>
      <c r="P31" s="102">
        <v>0.8956</v>
      </c>
      <c r="Q31" s="102">
        <v>0.8946</v>
      </c>
      <c r="R31" s="102">
        <v>0.9219</v>
      </c>
      <c r="S31" s="102">
        <v>0.9173</v>
      </c>
      <c r="T31" s="102">
        <v>0.9131</v>
      </c>
      <c r="U31" s="102">
        <v>0.9066</v>
      </c>
      <c r="V31" s="102">
        <v>0.8962</v>
      </c>
    </row>
    <row r="32" s="62" customFormat="1" ht="15" spans="1:22">
      <c r="A32" s="98"/>
      <c r="B32" s="99">
        <v>24</v>
      </c>
      <c r="C32" s="102">
        <v>0.9016</v>
      </c>
      <c r="D32" s="102">
        <v>0.898</v>
      </c>
      <c r="E32" s="102">
        <v>0.897</v>
      </c>
      <c r="F32" s="102">
        <v>0.8982</v>
      </c>
      <c r="G32" s="102">
        <v>0.8987</v>
      </c>
      <c r="H32" s="102">
        <v>0.9086</v>
      </c>
      <c r="I32" s="102">
        <v>0.9056</v>
      </c>
      <c r="J32" s="102">
        <v>0.898</v>
      </c>
      <c r="K32" s="102">
        <v>0.891</v>
      </c>
      <c r="L32" s="102">
        <v>0.8878</v>
      </c>
      <c r="M32" s="102">
        <v>0.9117</v>
      </c>
      <c r="N32" s="102">
        <v>0.906</v>
      </c>
      <c r="O32" s="102">
        <v>0.8999</v>
      </c>
      <c r="P32" s="102">
        <v>0.8982</v>
      </c>
      <c r="Q32" s="102">
        <v>0.8974</v>
      </c>
      <c r="R32" s="102">
        <v>0.9242</v>
      </c>
      <c r="S32" s="102">
        <v>0.9193</v>
      </c>
      <c r="T32" s="102">
        <v>0.9139</v>
      </c>
      <c r="U32" s="102">
        <v>0.9049</v>
      </c>
      <c r="V32" s="102">
        <v>0.8955</v>
      </c>
    </row>
    <row r="33" s="62" customFormat="1" ht="15" spans="1:22">
      <c r="A33" s="98"/>
      <c r="B33" s="99">
        <v>25</v>
      </c>
      <c r="C33" s="102">
        <v>0.9056</v>
      </c>
      <c r="D33" s="102">
        <v>0.902</v>
      </c>
      <c r="E33" s="102">
        <v>0.9016</v>
      </c>
      <c r="F33" s="102">
        <v>0.9016</v>
      </c>
      <c r="G33" s="102">
        <v>0.8982</v>
      </c>
      <c r="H33" s="102">
        <v>0.9103</v>
      </c>
      <c r="I33" s="102">
        <v>0.903</v>
      </c>
      <c r="J33" s="102">
        <v>0.8963</v>
      </c>
      <c r="K33" s="102">
        <v>0.8931</v>
      </c>
      <c r="L33" s="102">
        <v>0.8877</v>
      </c>
      <c r="M33" s="102">
        <v>0.9132</v>
      </c>
      <c r="N33" s="102">
        <v>0.9086</v>
      </c>
      <c r="O33" s="102">
        <v>0.9052</v>
      </c>
      <c r="P33" s="102">
        <v>0.903</v>
      </c>
      <c r="Q33" s="102">
        <v>0.9015</v>
      </c>
      <c r="R33" s="102">
        <v>0.9255</v>
      </c>
      <c r="S33" s="102">
        <v>0.92</v>
      </c>
      <c r="T33" s="102">
        <v>0.9095</v>
      </c>
      <c r="U33" s="102">
        <v>0.9034</v>
      </c>
      <c r="V33" s="102">
        <v>0.8952</v>
      </c>
    </row>
    <row r="35" ht="16.2" spans="2:2">
      <c r="B35" s="84"/>
    </row>
    <row r="36" s="62" customFormat="1" ht="15" spans="1:22">
      <c r="A36" s="103">
        <v>0.6</v>
      </c>
      <c r="B36" s="99">
        <v>6</v>
      </c>
      <c r="C36" s="102">
        <v>0.7723</v>
      </c>
      <c r="D36" s="102">
        <v>0.7722</v>
      </c>
      <c r="E36" s="102">
        <v>0.7683</v>
      </c>
      <c r="F36" s="102">
        <v>0.7736</v>
      </c>
      <c r="G36" s="102">
        <v>0.775</v>
      </c>
      <c r="H36" s="102">
        <v>0.8033</v>
      </c>
      <c r="I36" s="102">
        <v>0.8013</v>
      </c>
      <c r="J36" s="102">
        <v>0.7991</v>
      </c>
      <c r="K36" s="102">
        <v>0.8086</v>
      </c>
      <c r="L36" s="102">
        <v>0.8114</v>
      </c>
      <c r="M36" s="102">
        <v>0.8415</v>
      </c>
      <c r="N36" s="102">
        <v>0.8401</v>
      </c>
      <c r="O36" s="102">
        <v>0.8382</v>
      </c>
      <c r="P36" s="102">
        <v>0.8413</v>
      </c>
      <c r="Q36" s="102">
        <v>0.8437</v>
      </c>
      <c r="R36" s="102">
        <v>0.8727</v>
      </c>
      <c r="S36" s="102">
        <v>0.8691</v>
      </c>
      <c r="T36" s="102">
        <v>0.8701</v>
      </c>
      <c r="U36" s="102">
        <v>0.869</v>
      </c>
      <c r="V36" s="102">
        <v>0.8721</v>
      </c>
    </row>
    <row r="37" s="62" customFormat="1" ht="15" spans="1:22">
      <c r="A37" s="103"/>
      <c r="B37" s="99">
        <v>7</v>
      </c>
      <c r="C37" s="102">
        <v>0.7877</v>
      </c>
      <c r="D37" s="102">
        <v>0.7853</v>
      </c>
      <c r="E37" s="102">
        <v>0.7831</v>
      </c>
      <c r="F37" s="102">
        <v>0.8091</v>
      </c>
      <c r="G37" s="102">
        <v>0.7951</v>
      </c>
      <c r="H37" s="102">
        <v>0.8266</v>
      </c>
      <c r="I37" s="102">
        <v>0.827</v>
      </c>
      <c r="J37" s="102">
        <v>0.8258</v>
      </c>
      <c r="K37" s="102">
        <v>0.8296</v>
      </c>
      <c r="L37" s="102">
        <v>0.8348</v>
      </c>
      <c r="M37" s="102">
        <v>0.8669</v>
      </c>
      <c r="N37" s="102">
        <v>0.8642</v>
      </c>
      <c r="O37" s="102">
        <v>0.8634</v>
      </c>
      <c r="P37" s="102">
        <v>0.8655</v>
      </c>
      <c r="Q37" s="102">
        <v>0.869</v>
      </c>
      <c r="R37" s="102">
        <v>0.8867</v>
      </c>
      <c r="S37" s="102">
        <v>0.8858</v>
      </c>
      <c r="T37" s="102">
        <v>0.8784</v>
      </c>
      <c r="U37" s="102">
        <v>0.8729</v>
      </c>
      <c r="V37" s="102">
        <v>0.8677</v>
      </c>
    </row>
    <row r="38" s="62" customFormat="1" ht="15" spans="1:22">
      <c r="A38" s="103"/>
      <c r="B38" s="99">
        <v>8</v>
      </c>
      <c r="C38" s="102">
        <v>0.803</v>
      </c>
      <c r="D38" s="102">
        <v>0.8025</v>
      </c>
      <c r="E38" s="102">
        <v>0.798</v>
      </c>
      <c r="F38" s="112">
        <v>0.8078</v>
      </c>
      <c r="G38" s="102">
        <v>0.81</v>
      </c>
      <c r="H38" s="102">
        <v>0.8531</v>
      </c>
      <c r="I38" s="102">
        <v>0.8499</v>
      </c>
      <c r="J38" s="102">
        <v>0.8458</v>
      </c>
      <c r="K38" s="102">
        <v>0.8514</v>
      </c>
      <c r="L38" s="102">
        <v>0.8545</v>
      </c>
      <c r="M38" s="102">
        <v>0.8854</v>
      </c>
      <c r="N38" s="102">
        <v>0.8835</v>
      </c>
      <c r="O38" s="102">
        <v>0.8806</v>
      </c>
      <c r="P38" s="102">
        <v>0.8768</v>
      </c>
      <c r="Q38" s="102">
        <v>0.87</v>
      </c>
      <c r="R38" s="102">
        <v>0.8825</v>
      </c>
      <c r="S38" s="102">
        <v>0.8806</v>
      </c>
      <c r="T38" s="102">
        <v>0.8741</v>
      </c>
      <c r="U38" s="102">
        <v>0.8681</v>
      </c>
      <c r="V38" s="102">
        <v>0.8643</v>
      </c>
    </row>
    <row r="39" s="62" customFormat="1" ht="15" spans="1:22">
      <c r="A39" s="103"/>
      <c r="B39" s="99">
        <v>9</v>
      </c>
      <c r="C39" s="102">
        <v>0.8205</v>
      </c>
      <c r="D39" s="102">
        <v>0.8176</v>
      </c>
      <c r="E39" s="102">
        <v>0.8195</v>
      </c>
      <c r="F39" s="102">
        <v>0.8531</v>
      </c>
      <c r="G39" s="102">
        <v>0.8283</v>
      </c>
      <c r="H39" s="102">
        <v>0.8717</v>
      </c>
      <c r="I39" s="102">
        <v>0.8692</v>
      </c>
      <c r="J39" s="102">
        <v>0.868</v>
      </c>
      <c r="K39" s="102">
        <v>0.8688</v>
      </c>
      <c r="L39" s="102">
        <v>0.8723</v>
      </c>
      <c r="M39" s="102">
        <v>0.8869</v>
      </c>
      <c r="N39" s="102">
        <v>0.8818</v>
      </c>
      <c r="O39" s="102">
        <v>0.8765</v>
      </c>
      <c r="P39" s="102">
        <v>0.8698</v>
      </c>
      <c r="Q39" s="102">
        <v>0.8637</v>
      </c>
      <c r="R39" s="102">
        <v>0.8807</v>
      </c>
      <c r="S39" s="102">
        <v>0.876</v>
      </c>
      <c r="T39" s="102">
        <v>0.8685</v>
      </c>
      <c r="U39" s="102">
        <v>0.866</v>
      </c>
      <c r="V39" s="102">
        <v>0.8648</v>
      </c>
    </row>
    <row r="40" s="62" customFormat="1" ht="15" spans="1:22">
      <c r="A40" s="103"/>
      <c r="B40" s="99">
        <v>10</v>
      </c>
      <c r="C40" s="102">
        <v>0.8365</v>
      </c>
      <c r="D40" s="102">
        <v>0.8362</v>
      </c>
      <c r="E40" s="102">
        <v>0.8371</v>
      </c>
      <c r="F40" s="102">
        <v>0.8481</v>
      </c>
      <c r="G40" s="102">
        <v>0.8423</v>
      </c>
      <c r="H40" s="102">
        <v>0.8855</v>
      </c>
      <c r="I40" s="102">
        <v>0.8836</v>
      </c>
      <c r="J40" s="102">
        <v>0.8804</v>
      </c>
      <c r="K40" s="102">
        <v>0.876</v>
      </c>
      <c r="L40" s="102">
        <v>0.8692</v>
      </c>
      <c r="M40" s="102">
        <v>0.8787</v>
      </c>
      <c r="N40" s="102">
        <v>0.8786</v>
      </c>
      <c r="O40" s="102">
        <v>0.8695</v>
      </c>
      <c r="P40" s="102">
        <v>0.8666</v>
      </c>
      <c r="Q40" s="102">
        <v>0.8631</v>
      </c>
      <c r="R40" s="102">
        <v>0.882</v>
      </c>
      <c r="S40" s="102">
        <v>0.8779</v>
      </c>
      <c r="T40" s="102">
        <v>0.873</v>
      </c>
      <c r="U40" s="102">
        <v>0.8713</v>
      </c>
      <c r="V40" s="102">
        <v>0.8707</v>
      </c>
    </row>
    <row r="41" s="62" customFormat="1" ht="15" spans="1:22">
      <c r="A41" s="103"/>
      <c r="B41" s="99">
        <v>11</v>
      </c>
      <c r="C41" s="102">
        <v>0.8571</v>
      </c>
      <c r="D41" s="102">
        <v>0.8534</v>
      </c>
      <c r="E41" s="102">
        <v>0.8555</v>
      </c>
      <c r="F41" s="112">
        <v>0.8551</v>
      </c>
      <c r="G41" s="102">
        <v>0.8598</v>
      </c>
      <c r="H41" s="102">
        <v>0.8861</v>
      </c>
      <c r="I41" s="102">
        <v>0.8836</v>
      </c>
      <c r="J41" s="102">
        <v>0.8761</v>
      </c>
      <c r="K41" s="102">
        <v>0.8712</v>
      </c>
      <c r="L41" s="102">
        <v>0.866</v>
      </c>
      <c r="M41" s="102">
        <v>0.8798</v>
      </c>
      <c r="N41" s="102">
        <v>0.8747</v>
      </c>
      <c r="O41" s="102">
        <v>0.8685</v>
      </c>
      <c r="P41" s="102">
        <v>0.8669</v>
      </c>
      <c r="Q41" s="102">
        <v>0.8656</v>
      </c>
      <c r="R41" s="102">
        <v>0.8871</v>
      </c>
      <c r="S41" s="102">
        <v>0.8813</v>
      </c>
      <c r="T41" s="102">
        <v>0.8779</v>
      </c>
      <c r="U41" s="102">
        <v>0.876</v>
      </c>
      <c r="V41" s="102">
        <v>0.8784</v>
      </c>
    </row>
    <row r="42" s="62" customFormat="1" ht="15" spans="1:22">
      <c r="A42" s="103"/>
      <c r="B42" s="99">
        <v>12</v>
      </c>
      <c r="C42" s="102">
        <v>0.8703</v>
      </c>
      <c r="D42" s="102">
        <v>0.87</v>
      </c>
      <c r="E42" s="102">
        <v>0.8685</v>
      </c>
      <c r="F42" s="112">
        <v>0.8678</v>
      </c>
      <c r="G42" s="102">
        <v>0.8713</v>
      </c>
      <c r="H42" s="102">
        <v>0.8818</v>
      </c>
      <c r="I42" s="102">
        <v>0.8766</v>
      </c>
      <c r="J42" s="102">
        <v>0.8717</v>
      </c>
      <c r="K42" s="102">
        <v>0.868</v>
      </c>
      <c r="L42" s="102">
        <v>0.8627</v>
      </c>
      <c r="M42" s="102">
        <v>0.8814</v>
      </c>
      <c r="N42" s="102">
        <v>0.877</v>
      </c>
      <c r="O42" s="102">
        <v>0.8726</v>
      </c>
      <c r="P42" s="102">
        <v>0.8715</v>
      </c>
      <c r="Q42" s="102">
        <v>0.8696</v>
      </c>
      <c r="R42" s="102">
        <v>0.8924</v>
      </c>
      <c r="S42" s="102">
        <v>0.8872</v>
      </c>
      <c r="T42" s="102">
        <v>0.8838</v>
      </c>
      <c r="U42" s="102">
        <v>0.8845</v>
      </c>
      <c r="V42" s="102">
        <v>0.8857</v>
      </c>
    </row>
    <row r="43" s="62" customFormat="1" ht="15" spans="1:22">
      <c r="A43" s="103"/>
      <c r="B43" s="99">
        <v>13</v>
      </c>
      <c r="C43" s="113">
        <v>0.8873</v>
      </c>
      <c r="D43" s="113">
        <v>0.886</v>
      </c>
      <c r="E43" s="113">
        <v>0.8827</v>
      </c>
      <c r="F43" s="112">
        <v>0.8788</v>
      </c>
      <c r="G43" s="113">
        <v>0.8741</v>
      </c>
      <c r="H43" s="102">
        <v>0.8825</v>
      </c>
      <c r="I43" s="102">
        <v>0.8805</v>
      </c>
      <c r="J43" s="102">
        <v>0.8727</v>
      </c>
      <c r="K43" s="102">
        <v>0.8696</v>
      </c>
      <c r="L43" s="102">
        <v>0.8666</v>
      </c>
      <c r="M43" s="102">
        <v>0.8877</v>
      </c>
      <c r="N43" s="102">
        <v>0.8831</v>
      </c>
      <c r="O43" s="102">
        <v>0.8783</v>
      </c>
      <c r="P43" s="102">
        <v>0.8796</v>
      </c>
      <c r="Q43" s="102">
        <v>0.8773</v>
      </c>
      <c r="R43" s="102">
        <v>0.9035</v>
      </c>
      <c r="S43" s="102">
        <v>0.8989</v>
      </c>
      <c r="T43" s="102">
        <v>0.8959</v>
      </c>
      <c r="U43" s="102">
        <v>0.8965</v>
      </c>
      <c r="V43" s="102">
        <v>0.8969</v>
      </c>
    </row>
    <row r="44" s="62" customFormat="1" ht="15" spans="1:22">
      <c r="A44" s="103"/>
      <c r="B44" s="99">
        <v>14</v>
      </c>
      <c r="C44" s="113">
        <v>0.892</v>
      </c>
      <c r="D44" s="113">
        <v>0.8883</v>
      </c>
      <c r="E44" s="113">
        <v>0.883</v>
      </c>
      <c r="F44" s="112">
        <v>0.8778</v>
      </c>
      <c r="G44" s="113">
        <v>0.8697</v>
      </c>
      <c r="H44" s="102">
        <v>0.8837</v>
      </c>
      <c r="I44" s="102">
        <v>0.8784</v>
      </c>
      <c r="J44" s="102">
        <v>0.8741</v>
      </c>
      <c r="K44" s="102">
        <v>0.8725</v>
      </c>
      <c r="L44" s="102">
        <v>0.8681</v>
      </c>
      <c r="M44" s="102">
        <v>0.893</v>
      </c>
      <c r="N44" s="102">
        <v>0.8896</v>
      </c>
      <c r="O44" s="102">
        <v>0.8858</v>
      </c>
      <c r="P44" s="102">
        <v>0.8851</v>
      </c>
      <c r="Q44" s="102">
        <v>0.8859</v>
      </c>
      <c r="R44" s="102">
        <v>0.9125</v>
      </c>
      <c r="S44" s="102">
        <v>0.9078</v>
      </c>
      <c r="T44" s="102">
        <v>0.9057</v>
      </c>
      <c r="U44" s="102">
        <v>0.904</v>
      </c>
      <c r="V44" s="102">
        <v>0.8971</v>
      </c>
    </row>
    <row r="45" s="62" customFormat="1" ht="15" spans="1:22">
      <c r="A45" s="103"/>
      <c r="B45" s="99">
        <v>15</v>
      </c>
      <c r="C45" s="113">
        <v>0.8914</v>
      </c>
      <c r="D45" s="113">
        <v>0.8859</v>
      </c>
      <c r="E45" s="113">
        <v>0.8796</v>
      </c>
      <c r="F45" s="112">
        <v>0.8714</v>
      </c>
      <c r="G45" s="113">
        <v>0.8673</v>
      </c>
      <c r="H45" s="102">
        <v>0.8858</v>
      </c>
      <c r="I45" s="102">
        <v>0.881</v>
      </c>
      <c r="J45" s="102">
        <v>0.8771</v>
      </c>
      <c r="K45" s="102">
        <v>0.8745</v>
      </c>
      <c r="L45" s="102">
        <v>0.8736</v>
      </c>
      <c r="M45" s="102">
        <v>0.9007</v>
      </c>
      <c r="N45" s="102">
        <v>0.8946</v>
      </c>
      <c r="O45" s="102">
        <v>0.8917</v>
      </c>
      <c r="P45" s="102">
        <v>0.8926</v>
      </c>
      <c r="Q45" s="102">
        <v>0.8934</v>
      </c>
      <c r="R45" s="102">
        <v>0.919</v>
      </c>
      <c r="S45" s="102">
        <v>0.9131</v>
      </c>
      <c r="T45" s="102">
        <v>0.9074</v>
      </c>
      <c r="U45" s="102">
        <v>0.9006</v>
      </c>
      <c r="V45" s="102">
        <v>0.8931</v>
      </c>
    </row>
    <row r="46" s="62" customFormat="1" ht="15" spans="1:22">
      <c r="A46" s="103"/>
      <c r="B46" s="99">
        <v>16</v>
      </c>
      <c r="C46" s="113">
        <v>0.8862</v>
      </c>
      <c r="D46" s="113">
        <v>0.883</v>
      </c>
      <c r="E46" s="113">
        <v>0.8766</v>
      </c>
      <c r="F46" s="112">
        <v>0.87</v>
      </c>
      <c r="G46" s="113">
        <v>0.868</v>
      </c>
      <c r="H46" s="102">
        <v>0.8868</v>
      </c>
      <c r="I46" s="102">
        <v>0.8835</v>
      </c>
      <c r="J46" s="102">
        <v>0.8779</v>
      </c>
      <c r="K46" s="102">
        <v>0.8789</v>
      </c>
      <c r="L46" s="102">
        <v>0.8772</v>
      </c>
      <c r="M46" s="102">
        <v>0.9071</v>
      </c>
      <c r="N46" s="102">
        <v>0.903</v>
      </c>
      <c r="O46" s="102">
        <v>0.9002</v>
      </c>
      <c r="P46" s="102">
        <v>0.9005</v>
      </c>
      <c r="Q46" s="102">
        <v>0.8996</v>
      </c>
      <c r="R46" s="102">
        <v>0.9168</v>
      </c>
      <c r="S46" s="102">
        <v>0.9119</v>
      </c>
      <c r="T46" s="102">
        <v>0.9021</v>
      </c>
      <c r="U46" s="102">
        <v>0.892</v>
      </c>
      <c r="V46" s="102">
        <v>0.8888</v>
      </c>
    </row>
    <row r="47" s="62" customFormat="1" ht="15" spans="1:22">
      <c r="A47" s="103"/>
      <c r="B47" s="99">
        <v>17</v>
      </c>
      <c r="C47" s="102">
        <v>0.8864</v>
      </c>
      <c r="D47" s="102">
        <v>0.8816</v>
      </c>
      <c r="E47" s="102">
        <v>0.8722</v>
      </c>
      <c r="F47" s="102">
        <v>0.8646</v>
      </c>
      <c r="G47" s="102">
        <v>0.8664</v>
      </c>
      <c r="H47" s="102">
        <v>0.892</v>
      </c>
      <c r="I47" s="102">
        <v>0.885</v>
      </c>
      <c r="J47" s="102">
        <v>0.8838</v>
      </c>
      <c r="K47" s="102">
        <v>0.8822</v>
      </c>
      <c r="L47" s="102">
        <v>0.8838</v>
      </c>
      <c r="M47" s="102">
        <v>0.9134</v>
      </c>
      <c r="N47" s="102">
        <v>0.9076</v>
      </c>
      <c r="O47" s="102">
        <v>0.9062</v>
      </c>
      <c r="P47" s="102">
        <v>0.9054</v>
      </c>
      <c r="Q47" s="102">
        <v>0.8939</v>
      </c>
      <c r="R47" s="102">
        <v>0.9139</v>
      </c>
      <c r="S47" s="102">
        <v>0.9051</v>
      </c>
      <c r="T47" s="102">
        <v>0.8986</v>
      </c>
      <c r="U47" s="102">
        <v>0.8941</v>
      </c>
      <c r="V47" s="102">
        <v>0.8887</v>
      </c>
    </row>
    <row r="48" s="62" customFormat="1" ht="15" spans="1:22">
      <c r="A48" s="103"/>
      <c r="B48" s="99">
        <v>18</v>
      </c>
      <c r="C48" s="102">
        <v>0.8851</v>
      </c>
      <c r="D48" s="102">
        <v>0.8781</v>
      </c>
      <c r="E48" s="102">
        <v>0.8733</v>
      </c>
      <c r="F48" s="102">
        <v>0.8716</v>
      </c>
      <c r="G48" s="102">
        <v>0.868</v>
      </c>
      <c r="H48" s="102">
        <v>0.8945</v>
      </c>
      <c r="I48" s="102">
        <v>0.892</v>
      </c>
      <c r="J48" s="102">
        <v>0.888</v>
      </c>
      <c r="K48" s="102">
        <v>0.8885</v>
      </c>
      <c r="L48" s="102">
        <v>0.8879</v>
      </c>
      <c r="M48" s="102">
        <v>0.9184</v>
      </c>
      <c r="N48" s="102">
        <v>0.9156</v>
      </c>
      <c r="O48" s="102">
        <v>0.9043</v>
      </c>
      <c r="P48" s="102">
        <v>0.8982</v>
      </c>
      <c r="Q48" s="102">
        <v>0.8915</v>
      </c>
      <c r="R48" s="102">
        <v>0.9115</v>
      </c>
      <c r="S48" s="102">
        <v>0.9049</v>
      </c>
      <c r="T48" s="102">
        <v>0.897</v>
      </c>
      <c r="U48" s="102">
        <v>0.8914</v>
      </c>
      <c r="V48" s="102">
        <v>0.8875</v>
      </c>
    </row>
    <row r="49" s="62" customFormat="1" ht="15" spans="1:22">
      <c r="A49" s="103"/>
      <c r="B49" s="99">
        <v>19</v>
      </c>
      <c r="C49" s="102">
        <v>0.8856</v>
      </c>
      <c r="D49" s="102">
        <v>0.8793</v>
      </c>
      <c r="E49" s="102">
        <v>0.8735</v>
      </c>
      <c r="F49" s="102">
        <v>0.8763</v>
      </c>
      <c r="G49" s="102">
        <v>0.8712</v>
      </c>
      <c r="H49" s="102">
        <v>0.9021</v>
      </c>
      <c r="I49" s="102">
        <v>0.8967</v>
      </c>
      <c r="J49" s="102">
        <v>0.8929</v>
      </c>
      <c r="K49" s="102">
        <v>0.8935</v>
      </c>
      <c r="L49" s="102">
        <v>0.8951</v>
      </c>
      <c r="M49" s="102">
        <v>0.917</v>
      </c>
      <c r="N49" s="102">
        <v>0.9105</v>
      </c>
      <c r="O49" s="102">
        <v>0.9028</v>
      </c>
      <c r="P49" s="102">
        <v>0.8962</v>
      </c>
      <c r="Q49" s="102">
        <v>0.8885</v>
      </c>
      <c r="R49" s="102">
        <v>0.9102</v>
      </c>
      <c r="S49" s="102">
        <v>0.9033</v>
      </c>
      <c r="T49" s="102">
        <v>0.897</v>
      </c>
      <c r="U49" s="102">
        <v>0.894</v>
      </c>
      <c r="V49" s="102">
        <v>0.8901</v>
      </c>
    </row>
    <row r="50" s="62" customFormat="1" ht="15" spans="1:22">
      <c r="A50" s="103"/>
      <c r="B50" s="99">
        <v>20</v>
      </c>
      <c r="C50" s="102">
        <v>0.8847</v>
      </c>
      <c r="D50" s="102">
        <v>0.8807</v>
      </c>
      <c r="E50" s="102">
        <v>0.8748</v>
      </c>
      <c r="F50" s="102">
        <v>0.8847</v>
      </c>
      <c r="G50" s="102">
        <v>0.8735</v>
      </c>
      <c r="H50" s="102">
        <v>0.906</v>
      </c>
      <c r="I50" s="102">
        <v>0.9015</v>
      </c>
      <c r="J50" s="102">
        <v>0.8992</v>
      </c>
      <c r="K50" s="102">
        <v>0.8998</v>
      </c>
      <c r="L50" s="102">
        <v>0.8992</v>
      </c>
      <c r="M50" s="102">
        <v>0.9144</v>
      </c>
      <c r="N50" s="102">
        <v>0.9067</v>
      </c>
      <c r="O50" s="102">
        <v>0.8998</v>
      </c>
      <c r="P50" s="102">
        <v>0.8938</v>
      </c>
      <c r="Q50" s="102">
        <v>0.8879</v>
      </c>
      <c r="R50" s="102">
        <v>0.9097</v>
      </c>
      <c r="S50" s="102">
        <v>0.9031</v>
      </c>
      <c r="T50" s="102">
        <v>0.8962</v>
      </c>
      <c r="U50" s="102">
        <v>0.8943</v>
      </c>
      <c r="V50" s="102">
        <v>0.894</v>
      </c>
    </row>
    <row r="51" s="62" customFormat="1" ht="15" spans="1:22">
      <c r="A51" s="103"/>
      <c r="B51" s="99">
        <v>21</v>
      </c>
      <c r="C51" s="102">
        <v>0.8878</v>
      </c>
      <c r="D51" s="102">
        <v>0.8829</v>
      </c>
      <c r="E51" s="102">
        <v>0.879</v>
      </c>
      <c r="F51" s="102">
        <v>0.8903</v>
      </c>
      <c r="G51" s="102">
        <v>0.8774</v>
      </c>
      <c r="H51" s="102">
        <v>0.9109</v>
      </c>
      <c r="I51" s="102">
        <v>0.9077</v>
      </c>
      <c r="J51" s="102">
        <v>0.9055</v>
      </c>
      <c r="K51" s="102">
        <v>0.9039</v>
      </c>
      <c r="L51" s="102">
        <v>0.8963</v>
      </c>
      <c r="M51" s="102">
        <v>0.9111</v>
      </c>
      <c r="N51" s="102">
        <v>0.9063</v>
      </c>
      <c r="O51" s="102">
        <v>0.8978</v>
      </c>
      <c r="P51" s="102">
        <v>0.8929</v>
      </c>
      <c r="Q51" s="102">
        <v>0.8879</v>
      </c>
      <c r="R51" s="102">
        <v>0.9106</v>
      </c>
      <c r="S51" s="102">
        <v>0.9041</v>
      </c>
      <c r="T51" s="102">
        <v>0.8988</v>
      </c>
      <c r="U51" s="102">
        <v>0.897</v>
      </c>
      <c r="V51" s="102">
        <v>0.896</v>
      </c>
    </row>
    <row r="52" s="62" customFormat="1" ht="15" spans="1:22">
      <c r="A52" s="103"/>
      <c r="B52" s="99">
        <v>22</v>
      </c>
      <c r="C52" s="102">
        <v>0.8904</v>
      </c>
      <c r="D52" s="102">
        <v>0.8843</v>
      </c>
      <c r="E52" s="102">
        <v>0.8815</v>
      </c>
      <c r="F52" s="102">
        <v>0.8978</v>
      </c>
      <c r="G52" s="102">
        <v>0.8808</v>
      </c>
      <c r="H52" s="102">
        <v>0.916</v>
      </c>
      <c r="I52" s="102">
        <v>0.9119</v>
      </c>
      <c r="J52" s="102">
        <v>0.908</v>
      </c>
      <c r="K52" s="102">
        <v>0.9009</v>
      </c>
      <c r="L52" s="102">
        <v>0.8936</v>
      </c>
      <c r="M52" s="102">
        <v>0.9086</v>
      </c>
      <c r="N52" s="102">
        <v>0.9033</v>
      </c>
      <c r="O52" s="102">
        <v>0.8977</v>
      </c>
      <c r="P52" s="102">
        <v>0.8926</v>
      </c>
      <c r="Q52" s="102">
        <v>0.8889</v>
      </c>
      <c r="R52" s="102">
        <v>0.9127</v>
      </c>
      <c r="S52" s="102">
        <v>0.9069</v>
      </c>
      <c r="T52" s="102">
        <v>0.9024</v>
      </c>
      <c r="U52" s="102">
        <v>0.9008</v>
      </c>
      <c r="V52" s="102">
        <v>0.9003</v>
      </c>
    </row>
    <row r="53" s="62" customFormat="1" ht="15" spans="1:22">
      <c r="A53" s="103"/>
      <c r="B53" s="99">
        <v>23</v>
      </c>
      <c r="C53" s="102">
        <v>0.8918</v>
      </c>
      <c r="D53" s="102">
        <v>0.8872</v>
      </c>
      <c r="E53" s="102">
        <v>0.8842</v>
      </c>
      <c r="F53" s="102">
        <v>0.8993</v>
      </c>
      <c r="G53" s="102">
        <v>0.8843</v>
      </c>
      <c r="H53" s="102">
        <v>0.9192</v>
      </c>
      <c r="I53" s="102">
        <v>0.9138</v>
      </c>
      <c r="J53" s="102">
        <v>0.9062</v>
      </c>
      <c r="K53" s="102">
        <v>0.8992</v>
      </c>
      <c r="L53" s="102">
        <v>0.8894</v>
      </c>
      <c r="M53" s="102">
        <v>0.9103</v>
      </c>
      <c r="N53" s="102">
        <v>0.9033</v>
      </c>
      <c r="O53" s="102">
        <v>0.8964</v>
      </c>
      <c r="P53" s="102">
        <v>0.8935</v>
      </c>
      <c r="Q53" s="102">
        <v>0.8906</v>
      </c>
      <c r="R53" s="102">
        <v>0.9153</v>
      </c>
      <c r="S53" s="102">
        <v>0.9078</v>
      </c>
      <c r="T53" s="102">
        <v>0.9042</v>
      </c>
      <c r="U53" s="102">
        <v>0.9032</v>
      </c>
      <c r="V53" s="102">
        <v>0.9032</v>
      </c>
    </row>
    <row r="54" s="62" customFormat="1" ht="15" spans="1:22">
      <c r="A54" s="103"/>
      <c r="B54" s="99">
        <v>24</v>
      </c>
      <c r="C54" s="102">
        <v>0.8972</v>
      </c>
      <c r="D54" s="102">
        <v>0.8903</v>
      </c>
      <c r="E54" s="102">
        <v>0.8876</v>
      </c>
      <c r="F54" s="102">
        <v>0.8978</v>
      </c>
      <c r="G54" s="102">
        <v>0.8895</v>
      </c>
      <c r="H54" s="102">
        <v>0.9167</v>
      </c>
      <c r="I54" s="102">
        <v>0.9128</v>
      </c>
      <c r="J54" s="102">
        <v>0.9013</v>
      </c>
      <c r="K54" s="102">
        <v>0.896</v>
      </c>
      <c r="L54" s="102">
        <v>0.8887</v>
      </c>
      <c r="M54" s="102">
        <v>0.909</v>
      </c>
      <c r="N54" s="102">
        <v>0.904</v>
      </c>
      <c r="O54" s="102">
        <v>0.8971</v>
      </c>
      <c r="P54" s="102">
        <v>0.8957</v>
      </c>
      <c r="Q54" s="102">
        <v>0.8925</v>
      </c>
      <c r="R54" s="102">
        <v>0.9188</v>
      </c>
      <c r="S54" s="102">
        <v>0.9129</v>
      </c>
      <c r="T54" s="102">
        <v>0.9097</v>
      </c>
      <c r="U54" s="102">
        <v>0.9081</v>
      </c>
      <c r="V54" s="102">
        <v>0.8977</v>
      </c>
    </row>
    <row r="55" s="62" customFormat="1" ht="15" spans="1:22">
      <c r="A55" s="103"/>
      <c r="B55" s="99">
        <v>25</v>
      </c>
      <c r="C55" s="102">
        <v>0.9007</v>
      </c>
      <c r="D55" s="102">
        <v>0.8964</v>
      </c>
      <c r="E55" s="102">
        <v>0.8924</v>
      </c>
      <c r="F55" s="102">
        <v>0.8955</v>
      </c>
      <c r="G55" s="102">
        <v>0.893</v>
      </c>
      <c r="H55" s="102">
        <v>0.913</v>
      </c>
      <c r="I55" s="102">
        <v>0.9087</v>
      </c>
      <c r="J55" s="102">
        <v>0.8996</v>
      </c>
      <c r="K55" s="102">
        <v>0.8922</v>
      </c>
      <c r="L55" s="102">
        <v>0.8881</v>
      </c>
      <c r="M55" s="102">
        <v>0.91</v>
      </c>
      <c r="N55" s="102">
        <v>0.9039</v>
      </c>
      <c r="O55" s="102">
        <v>0.8987</v>
      </c>
      <c r="P55" s="102">
        <v>0.8962</v>
      </c>
      <c r="Q55" s="102">
        <v>0.8947</v>
      </c>
      <c r="R55" s="102">
        <v>0.9222</v>
      </c>
      <c r="S55" s="102">
        <v>0.9164</v>
      </c>
      <c r="T55" s="102">
        <v>0.9116</v>
      </c>
      <c r="U55" s="102">
        <v>0.9055</v>
      </c>
      <c r="V55" s="102">
        <v>0.8954</v>
      </c>
    </row>
    <row r="57" ht="16.2" spans="2:2">
      <c r="B57" s="84"/>
    </row>
    <row r="58" s="62" customFormat="1" ht="15" spans="1:22">
      <c r="A58" s="103">
        <v>0.55</v>
      </c>
      <c r="B58" s="99">
        <v>6</v>
      </c>
      <c r="C58" s="114">
        <v>0.7656</v>
      </c>
      <c r="D58" s="114">
        <v>0.7676</v>
      </c>
      <c r="E58" s="114">
        <v>0.7647</v>
      </c>
      <c r="F58" s="114">
        <v>0.7672</v>
      </c>
      <c r="G58" s="114">
        <v>0.7772</v>
      </c>
      <c r="H58" s="114">
        <v>0.7907</v>
      </c>
      <c r="I58" s="114">
        <v>0.7905</v>
      </c>
      <c r="J58" s="114">
        <v>0.7872</v>
      </c>
      <c r="K58" s="114">
        <v>0.7948</v>
      </c>
      <c r="L58" s="114">
        <v>0.7999</v>
      </c>
      <c r="M58" s="114">
        <v>0.8237</v>
      </c>
      <c r="N58" s="114">
        <v>0.821</v>
      </c>
      <c r="O58" s="114">
        <v>0.8179</v>
      </c>
      <c r="P58" s="114">
        <v>0.8298</v>
      </c>
      <c r="Q58" s="114">
        <v>0.8352</v>
      </c>
      <c r="R58" s="114">
        <v>0.8627</v>
      </c>
      <c r="S58" s="114">
        <v>0.8584</v>
      </c>
      <c r="T58" s="114">
        <v>0.8558</v>
      </c>
      <c r="U58" s="114">
        <v>0.8511</v>
      </c>
      <c r="V58" s="114">
        <v>0.8501</v>
      </c>
    </row>
    <row r="59" s="62" customFormat="1" ht="15" spans="1:22">
      <c r="A59" s="103"/>
      <c r="B59" s="99">
        <v>7</v>
      </c>
      <c r="C59" s="114">
        <v>0.7778</v>
      </c>
      <c r="D59" s="114">
        <v>0.7782</v>
      </c>
      <c r="E59" s="114">
        <v>0.7747</v>
      </c>
      <c r="F59" s="114">
        <v>0.7781</v>
      </c>
      <c r="G59" s="114">
        <v>0.7911</v>
      </c>
      <c r="H59" s="114">
        <v>0.8111</v>
      </c>
      <c r="I59" s="114">
        <v>0.8092</v>
      </c>
      <c r="J59" s="114">
        <v>0.8108</v>
      </c>
      <c r="K59" s="114">
        <v>0.8152</v>
      </c>
      <c r="L59" s="114">
        <v>0.8193</v>
      </c>
      <c r="M59" s="114">
        <v>0.8546</v>
      </c>
      <c r="N59" s="114">
        <v>0.8505</v>
      </c>
      <c r="O59" s="114">
        <v>0.845</v>
      </c>
      <c r="P59" s="114">
        <v>0.856</v>
      </c>
      <c r="Q59" s="114">
        <v>0.859</v>
      </c>
      <c r="R59" s="114">
        <v>0.8866</v>
      </c>
      <c r="S59" s="114">
        <v>0.883</v>
      </c>
      <c r="T59" s="114">
        <v>0.8792</v>
      </c>
      <c r="U59" s="114">
        <v>0.8748</v>
      </c>
      <c r="V59" s="114">
        <v>0.8728</v>
      </c>
    </row>
    <row r="60" s="62" customFormat="1" ht="15" spans="1:22">
      <c r="A60" s="103"/>
      <c r="B60" s="99">
        <v>8</v>
      </c>
      <c r="C60" s="114">
        <v>0.7933</v>
      </c>
      <c r="D60" s="114">
        <v>0.7904</v>
      </c>
      <c r="E60" s="114">
        <v>0.7874</v>
      </c>
      <c r="F60" s="114">
        <v>0.7952</v>
      </c>
      <c r="G60" s="114">
        <v>0.8118</v>
      </c>
      <c r="H60" s="114">
        <v>0.8315</v>
      </c>
      <c r="I60" s="114">
        <v>0.8326</v>
      </c>
      <c r="J60" s="114">
        <v>0.8308</v>
      </c>
      <c r="K60" s="114">
        <v>0.838</v>
      </c>
      <c r="L60" s="114">
        <v>0.8408</v>
      </c>
      <c r="M60" s="114">
        <v>0.8748</v>
      </c>
      <c r="N60" s="114">
        <v>0.8722</v>
      </c>
      <c r="O60" s="114">
        <v>0.8673</v>
      </c>
      <c r="P60" s="114">
        <v>0.8756</v>
      </c>
      <c r="Q60" s="114">
        <v>0.878</v>
      </c>
      <c r="R60" s="114">
        <v>0.8921</v>
      </c>
      <c r="S60" s="114">
        <v>0.8896</v>
      </c>
      <c r="T60" s="114">
        <v>0.8833</v>
      </c>
      <c r="U60" s="114">
        <v>0.8738</v>
      </c>
      <c r="V60" s="114">
        <v>0.8747</v>
      </c>
    </row>
    <row r="61" s="62" customFormat="1" ht="15" spans="1:22">
      <c r="A61" s="103"/>
      <c r="B61" s="99">
        <v>9</v>
      </c>
      <c r="C61" s="114">
        <v>0.8076</v>
      </c>
      <c r="D61" s="114">
        <v>0.8051</v>
      </c>
      <c r="E61" s="114">
        <v>0.8053</v>
      </c>
      <c r="F61" s="114">
        <v>0.8109</v>
      </c>
      <c r="G61" s="114">
        <v>0.8261</v>
      </c>
      <c r="H61" s="114">
        <v>0.856</v>
      </c>
      <c r="I61" s="114">
        <v>0.8529</v>
      </c>
      <c r="J61" s="114">
        <v>0.8524</v>
      </c>
      <c r="K61" s="114">
        <v>0.8538</v>
      </c>
      <c r="L61" s="114">
        <v>0.8582</v>
      </c>
      <c r="M61" s="114">
        <v>0.888</v>
      </c>
      <c r="N61" s="114">
        <v>0.8846</v>
      </c>
      <c r="O61" s="114">
        <v>0.8765</v>
      </c>
      <c r="P61" s="114">
        <v>0.8799</v>
      </c>
      <c r="Q61" s="114">
        <v>0.8737</v>
      </c>
      <c r="R61" s="114">
        <v>0.8862</v>
      </c>
      <c r="S61" s="114">
        <v>0.8848</v>
      </c>
      <c r="T61" s="114">
        <v>0.8744</v>
      </c>
      <c r="U61" s="114">
        <v>0.8658</v>
      </c>
      <c r="V61" s="114">
        <v>0.8687</v>
      </c>
    </row>
    <row r="62" s="62" customFormat="1" ht="15" spans="1:22">
      <c r="A62" s="103"/>
      <c r="B62" s="99">
        <v>10</v>
      </c>
      <c r="C62" s="114">
        <v>0.8223</v>
      </c>
      <c r="D62" s="114">
        <v>0.8226</v>
      </c>
      <c r="E62" s="114">
        <v>0.821</v>
      </c>
      <c r="F62" s="114">
        <v>0.8261</v>
      </c>
      <c r="G62" s="114">
        <v>0.8439</v>
      </c>
      <c r="H62" s="114">
        <v>0.8734</v>
      </c>
      <c r="I62" s="114">
        <v>0.8716</v>
      </c>
      <c r="J62" s="114">
        <v>0.8691</v>
      </c>
      <c r="K62" s="114">
        <v>0.8711</v>
      </c>
      <c r="L62" s="114">
        <v>0.8701</v>
      </c>
      <c r="M62" s="114">
        <v>0.8847</v>
      </c>
      <c r="N62" s="114">
        <v>0.8817</v>
      </c>
      <c r="O62" s="114">
        <v>0.8708</v>
      </c>
      <c r="P62" s="114">
        <v>0.8735</v>
      </c>
      <c r="Q62" s="114">
        <v>0.8707</v>
      </c>
      <c r="R62" s="114">
        <v>0.8853</v>
      </c>
      <c r="S62" s="114">
        <v>0.8807</v>
      </c>
      <c r="T62" s="114">
        <v>0.8754</v>
      </c>
      <c r="U62" s="114">
        <v>0.8675</v>
      </c>
      <c r="V62" s="114">
        <v>0.8689</v>
      </c>
    </row>
    <row r="63" s="62" customFormat="1" ht="15" spans="1:22">
      <c r="A63" s="103"/>
      <c r="B63" s="99">
        <v>11</v>
      </c>
      <c r="C63" s="114">
        <v>0.8369</v>
      </c>
      <c r="D63" s="114">
        <v>0.8384</v>
      </c>
      <c r="E63" s="114">
        <v>0.8364</v>
      </c>
      <c r="F63" s="114">
        <v>0.8404</v>
      </c>
      <c r="G63" s="114">
        <v>0.8567</v>
      </c>
      <c r="H63" s="114">
        <v>0.883</v>
      </c>
      <c r="I63" s="114">
        <v>0.8815</v>
      </c>
      <c r="J63" s="114">
        <v>0.8803</v>
      </c>
      <c r="K63" s="114">
        <v>0.8745</v>
      </c>
      <c r="L63" s="114">
        <v>0.8658</v>
      </c>
      <c r="M63" s="114">
        <v>0.8807</v>
      </c>
      <c r="N63" s="114">
        <v>0.8769</v>
      </c>
      <c r="O63" s="114">
        <v>0.8657</v>
      </c>
      <c r="P63" s="114">
        <v>0.873</v>
      </c>
      <c r="Q63" s="114">
        <v>0.8674</v>
      </c>
      <c r="R63" s="114">
        <v>0.8862</v>
      </c>
      <c r="S63" s="114">
        <v>0.8806</v>
      </c>
      <c r="T63" s="114">
        <v>0.8757</v>
      </c>
      <c r="U63" s="114">
        <v>0.8683</v>
      </c>
      <c r="V63" s="114">
        <v>0.8695</v>
      </c>
    </row>
    <row r="64" s="62" customFormat="1" ht="15" spans="1:22">
      <c r="A64" s="103"/>
      <c r="B64" s="99">
        <v>12</v>
      </c>
      <c r="C64" s="114">
        <v>0.8562</v>
      </c>
      <c r="D64" s="114">
        <v>0.8523</v>
      </c>
      <c r="E64" s="114">
        <v>0.8528</v>
      </c>
      <c r="F64" s="114">
        <v>0.8544</v>
      </c>
      <c r="G64" s="114">
        <v>0.870613</v>
      </c>
      <c r="H64" s="114">
        <v>0.8845</v>
      </c>
      <c r="I64" s="114">
        <v>0.8811</v>
      </c>
      <c r="J64" s="114">
        <v>0.8745</v>
      </c>
      <c r="K64" s="114">
        <v>0.8668</v>
      </c>
      <c r="L64" s="114">
        <v>0.8616</v>
      </c>
      <c r="M64" s="114">
        <v>0.8789</v>
      </c>
      <c r="N64" s="114">
        <v>0.875</v>
      </c>
      <c r="O64" s="114">
        <v>0.8656</v>
      </c>
      <c r="P64" s="114">
        <v>0.8724</v>
      </c>
      <c r="Q64" s="114">
        <v>0.8691</v>
      </c>
      <c r="R64" s="114">
        <v>0.8912</v>
      </c>
      <c r="S64" s="114">
        <v>0.8851</v>
      </c>
      <c r="T64" s="114">
        <v>0.8813</v>
      </c>
      <c r="U64" s="114">
        <v>0.8741</v>
      </c>
      <c r="V64" s="114">
        <v>0.8737</v>
      </c>
    </row>
    <row r="65" s="62" customFormat="1" ht="15" spans="1:22">
      <c r="A65" s="103"/>
      <c r="B65" s="99">
        <v>13</v>
      </c>
      <c r="C65" s="114">
        <v>0.8705</v>
      </c>
      <c r="D65" s="114">
        <v>0.8698</v>
      </c>
      <c r="E65" s="114">
        <v>0.869</v>
      </c>
      <c r="F65" s="114">
        <v>0.8709</v>
      </c>
      <c r="G65" s="114">
        <v>0.8853</v>
      </c>
      <c r="H65" s="114">
        <v>0.8834</v>
      </c>
      <c r="I65" s="114">
        <v>0.8797</v>
      </c>
      <c r="J65" s="114">
        <v>0.8758</v>
      </c>
      <c r="K65" s="114">
        <v>0.8692</v>
      </c>
      <c r="L65" s="114">
        <v>0.8655</v>
      </c>
      <c r="M65" s="114">
        <v>0.8836</v>
      </c>
      <c r="N65" s="114">
        <v>0.8804</v>
      </c>
      <c r="O65" s="114">
        <v>0.8717</v>
      </c>
      <c r="P65" s="114">
        <v>0.8792</v>
      </c>
      <c r="Q65" s="114">
        <v>0.8783</v>
      </c>
      <c r="R65" s="114">
        <v>0.8989</v>
      </c>
      <c r="S65" s="114">
        <v>0.8934</v>
      </c>
      <c r="T65" s="114">
        <v>0.8896</v>
      </c>
      <c r="U65" s="114">
        <v>0.8829</v>
      </c>
      <c r="V65" s="114">
        <v>0.8829</v>
      </c>
    </row>
    <row r="66" s="62" customFormat="1" ht="15" spans="1:22">
      <c r="A66" s="103"/>
      <c r="B66" s="99">
        <v>14</v>
      </c>
      <c r="C66" s="114">
        <v>0.8837</v>
      </c>
      <c r="D66" s="114">
        <v>0.8823</v>
      </c>
      <c r="E66" s="114">
        <v>0.8806</v>
      </c>
      <c r="F66" s="114">
        <v>0.8791</v>
      </c>
      <c r="G66" s="114">
        <v>0.8897</v>
      </c>
      <c r="H66" s="114">
        <v>0.8809</v>
      </c>
      <c r="I66" s="114">
        <v>0.8784</v>
      </c>
      <c r="J66" s="114">
        <v>0.8714</v>
      </c>
      <c r="K66" s="114">
        <v>0.8682</v>
      </c>
      <c r="L66" s="114">
        <v>0.8639</v>
      </c>
      <c r="M66" s="114">
        <v>0.8879</v>
      </c>
      <c r="N66" s="114">
        <v>0.8827</v>
      </c>
      <c r="O66" s="114">
        <v>0.8758</v>
      </c>
      <c r="P66" s="114">
        <v>0.8821</v>
      </c>
      <c r="Q66" s="114">
        <v>0.8812</v>
      </c>
      <c r="R66" s="114">
        <v>0.9058</v>
      </c>
      <c r="S66" s="114">
        <v>0.9017</v>
      </c>
      <c r="T66" s="114">
        <v>0.8983</v>
      </c>
      <c r="U66" s="114">
        <v>0.891</v>
      </c>
      <c r="V66" s="114">
        <v>0.8919</v>
      </c>
    </row>
    <row r="67" s="62" customFormat="1" ht="15" spans="1:22">
      <c r="A67" s="103"/>
      <c r="B67" s="99">
        <v>15</v>
      </c>
      <c r="C67" s="114">
        <v>0.8886</v>
      </c>
      <c r="D67" s="114">
        <v>0.8885</v>
      </c>
      <c r="E67" s="114">
        <v>0.8836</v>
      </c>
      <c r="F67" s="114">
        <v>0.8787</v>
      </c>
      <c r="G67" s="114">
        <v>0.8832</v>
      </c>
      <c r="H67" s="114">
        <v>0.8825</v>
      </c>
      <c r="I67" s="114">
        <v>0.8755</v>
      </c>
      <c r="J67" s="114">
        <v>0.872</v>
      </c>
      <c r="K67" s="114">
        <v>0.8697</v>
      </c>
      <c r="L67" s="114">
        <v>0.8675</v>
      </c>
      <c r="M67" s="114">
        <v>0.8919</v>
      </c>
      <c r="N67" s="114">
        <v>0.8873</v>
      </c>
      <c r="O67" s="114">
        <v>0.8814</v>
      </c>
      <c r="P67" s="114">
        <v>0.8874</v>
      </c>
      <c r="Q67" s="114">
        <v>0.888</v>
      </c>
      <c r="R67" s="114">
        <v>0.914</v>
      </c>
      <c r="S67" s="114">
        <v>0.9104</v>
      </c>
      <c r="T67" s="114">
        <v>0.9058</v>
      </c>
      <c r="U67" s="114">
        <v>0.8982</v>
      </c>
      <c r="V67" s="114">
        <v>0.8998</v>
      </c>
    </row>
    <row r="68" s="62" customFormat="1" ht="15" spans="1:22">
      <c r="A68" s="103"/>
      <c r="B68" s="99">
        <v>16</v>
      </c>
      <c r="C68" s="114">
        <v>0.891</v>
      </c>
      <c r="D68" s="114">
        <v>0.8858</v>
      </c>
      <c r="E68" s="114">
        <v>0.8794</v>
      </c>
      <c r="F68" s="114">
        <v>0.8727</v>
      </c>
      <c r="G68" s="114">
        <v>0.8824</v>
      </c>
      <c r="H68" s="114">
        <v>0.8824</v>
      </c>
      <c r="I68" s="114">
        <v>0.8786</v>
      </c>
      <c r="J68" s="114">
        <v>0.8726</v>
      </c>
      <c r="K68" s="114">
        <v>0.8712</v>
      </c>
      <c r="L68" s="114">
        <v>0.8704</v>
      </c>
      <c r="M68" s="114">
        <v>0.8996</v>
      </c>
      <c r="N68" s="114">
        <v>0.8925</v>
      </c>
      <c r="O68" s="114">
        <v>0.8868</v>
      </c>
      <c r="P68" s="114">
        <v>0.8936</v>
      </c>
      <c r="Q68" s="114">
        <v>0.8945</v>
      </c>
      <c r="R68" s="114">
        <v>0.9196</v>
      </c>
      <c r="S68" s="114">
        <v>0.9152</v>
      </c>
      <c r="T68" s="114">
        <v>0.9143</v>
      </c>
      <c r="U68" s="114">
        <v>0.9058</v>
      </c>
      <c r="V68" s="114">
        <v>0.9076</v>
      </c>
    </row>
    <row r="69" s="62" customFormat="1" ht="15" spans="1:22">
      <c r="A69" s="103"/>
      <c r="B69" s="99">
        <v>17</v>
      </c>
      <c r="C69" s="114">
        <v>0.886</v>
      </c>
      <c r="D69" s="114">
        <v>0.8842</v>
      </c>
      <c r="E69" s="114">
        <v>0.8752</v>
      </c>
      <c r="F69" s="114">
        <v>0.8698</v>
      </c>
      <c r="G69" s="114">
        <v>0.8796</v>
      </c>
      <c r="H69" s="114">
        <v>0.8829</v>
      </c>
      <c r="I69" s="114">
        <v>0.8791</v>
      </c>
      <c r="J69" s="114">
        <v>0.8758</v>
      </c>
      <c r="K69" s="114">
        <v>0.8755</v>
      </c>
      <c r="L69" s="114">
        <v>0.875</v>
      </c>
      <c r="M69" s="114">
        <v>0.9034</v>
      </c>
      <c r="N69" s="114">
        <v>0.8997</v>
      </c>
      <c r="O69" s="114">
        <v>0.8941</v>
      </c>
      <c r="P69" s="114">
        <v>0.9007</v>
      </c>
      <c r="Q69" s="114">
        <v>0.9018</v>
      </c>
      <c r="R69" s="114">
        <v>0.924</v>
      </c>
      <c r="S69" s="114">
        <v>0.9185</v>
      </c>
      <c r="T69" s="114">
        <v>0.9103</v>
      </c>
      <c r="U69" s="114">
        <v>0.902</v>
      </c>
      <c r="V69" s="114">
        <v>0.9007</v>
      </c>
    </row>
    <row r="70" s="62" customFormat="1" ht="15" spans="1:22">
      <c r="A70" s="103"/>
      <c r="B70" s="99">
        <v>18</v>
      </c>
      <c r="C70" s="114">
        <v>0.8832</v>
      </c>
      <c r="D70" s="114">
        <v>0.8808</v>
      </c>
      <c r="E70" s="114">
        <v>0.8736</v>
      </c>
      <c r="F70" s="114">
        <v>0.8692</v>
      </c>
      <c r="G70" s="114">
        <v>0.8801</v>
      </c>
      <c r="H70" s="114">
        <v>0.8867</v>
      </c>
      <c r="I70" s="114">
        <v>0.8826</v>
      </c>
      <c r="J70" s="114">
        <v>0.8782</v>
      </c>
      <c r="K70" s="114">
        <v>0.8789</v>
      </c>
      <c r="L70" s="114">
        <v>0.8787</v>
      </c>
      <c r="M70" s="114">
        <v>0.9097</v>
      </c>
      <c r="N70" s="114">
        <v>0.9049</v>
      </c>
      <c r="O70" s="114">
        <v>0.8982</v>
      </c>
      <c r="P70" s="114">
        <v>0.9059</v>
      </c>
      <c r="Q70" s="114">
        <v>0.9034</v>
      </c>
      <c r="R70" s="114">
        <v>0.9205</v>
      </c>
      <c r="S70" s="114">
        <v>0.914</v>
      </c>
      <c r="T70" s="114">
        <v>0.9038</v>
      </c>
      <c r="U70" s="114">
        <v>0.8986</v>
      </c>
      <c r="V70" s="114">
        <v>0.8994</v>
      </c>
    </row>
    <row r="71" s="62" customFormat="1" ht="15" spans="1:22">
      <c r="A71" s="103"/>
      <c r="B71" s="99">
        <v>19</v>
      </c>
      <c r="C71" s="114">
        <v>0.8818</v>
      </c>
      <c r="D71" s="114">
        <v>0.879</v>
      </c>
      <c r="E71" s="114">
        <v>0.8726</v>
      </c>
      <c r="F71" s="114">
        <v>0.8697</v>
      </c>
      <c r="G71" s="114">
        <v>0.8794</v>
      </c>
      <c r="H71" s="114">
        <v>0.8907</v>
      </c>
      <c r="I71" s="114">
        <v>0.885</v>
      </c>
      <c r="J71" s="114">
        <v>0.8843</v>
      </c>
      <c r="K71" s="114">
        <v>0.8844</v>
      </c>
      <c r="L71" s="114">
        <v>0.8848</v>
      </c>
      <c r="M71" s="114">
        <v>0.9146</v>
      </c>
      <c r="N71" s="114">
        <v>0.9116</v>
      </c>
      <c r="O71" s="114">
        <v>0.9059</v>
      </c>
      <c r="P71" s="114">
        <v>0.9084</v>
      </c>
      <c r="Q71" s="114">
        <v>0.9</v>
      </c>
      <c r="R71" s="114">
        <v>0.9158</v>
      </c>
      <c r="S71" s="114">
        <v>0.9111</v>
      </c>
      <c r="T71" s="114">
        <v>0.9028</v>
      </c>
      <c r="U71" s="114">
        <v>0.895</v>
      </c>
      <c r="V71" s="114">
        <v>0.8943</v>
      </c>
    </row>
    <row r="72" s="62" customFormat="1" ht="15" spans="1:22">
      <c r="A72" s="103"/>
      <c r="B72" s="99">
        <v>20</v>
      </c>
      <c r="C72" s="114">
        <v>0.8833</v>
      </c>
      <c r="D72" s="114">
        <v>0.8784</v>
      </c>
      <c r="E72" s="114">
        <v>0.8719</v>
      </c>
      <c r="F72" s="114">
        <v>0.8687</v>
      </c>
      <c r="G72" s="114">
        <v>0.8825</v>
      </c>
      <c r="H72" s="114">
        <v>0.8971</v>
      </c>
      <c r="I72" s="114">
        <v>0.8917</v>
      </c>
      <c r="J72" s="114">
        <v>0.8887</v>
      </c>
      <c r="K72" s="114">
        <v>0.8888</v>
      </c>
      <c r="L72" s="114">
        <v>0.8892</v>
      </c>
      <c r="M72" s="114">
        <v>0.9192</v>
      </c>
      <c r="N72" s="114">
        <v>0.9137</v>
      </c>
      <c r="O72" s="114">
        <v>0.9024</v>
      </c>
      <c r="P72" s="114">
        <v>0.9034</v>
      </c>
      <c r="Q72" s="114">
        <v>0.8969</v>
      </c>
      <c r="R72" s="114">
        <v>0.9142</v>
      </c>
      <c r="S72" s="114">
        <v>0.9099</v>
      </c>
      <c r="T72" s="114">
        <v>0.9008</v>
      </c>
      <c r="U72" s="114">
        <v>0.8935</v>
      </c>
      <c r="V72" s="114">
        <v>0.8943</v>
      </c>
    </row>
    <row r="73" s="62" customFormat="1" ht="15" spans="1:22">
      <c r="A73" s="103"/>
      <c r="B73" s="99">
        <v>21</v>
      </c>
      <c r="C73" s="114">
        <v>0.8835</v>
      </c>
      <c r="D73" s="114">
        <v>0.8783</v>
      </c>
      <c r="E73" s="114">
        <v>0.8742</v>
      </c>
      <c r="F73" s="114">
        <v>0.8729</v>
      </c>
      <c r="G73" s="114">
        <v>0.8838</v>
      </c>
      <c r="H73" s="114">
        <v>0.9007</v>
      </c>
      <c r="I73" s="114">
        <v>0.8951</v>
      </c>
      <c r="J73" s="114">
        <v>0.8945</v>
      </c>
      <c r="K73" s="114">
        <v>0.8952</v>
      </c>
      <c r="L73" s="114">
        <v>0.895</v>
      </c>
      <c r="M73" s="114">
        <v>0.9151</v>
      </c>
      <c r="N73" s="114">
        <v>0.9119</v>
      </c>
      <c r="O73" s="114">
        <v>0.905</v>
      </c>
      <c r="P73" s="114">
        <v>0.9002</v>
      </c>
      <c r="Q73" s="114">
        <v>0.8922</v>
      </c>
      <c r="R73" s="114">
        <v>0.9141</v>
      </c>
      <c r="S73" s="114">
        <v>0.9098</v>
      </c>
      <c r="T73" s="114">
        <v>0.9016</v>
      </c>
      <c r="U73" s="114">
        <v>0.8937</v>
      </c>
      <c r="V73" s="114">
        <v>0.8956</v>
      </c>
    </row>
    <row r="74" s="62" customFormat="1" ht="15" spans="1:22">
      <c r="A74" s="103"/>
      <c r="B74" s="99">
        <v>22</v>
      </c>
      <c r="C74" s="114">
        <v>0.8831</v>
      </c>
      <c r="D74" s="114">
        <v>0.8805</v>
      </c>
      <c r="E74" s="114">
        <v>0.8743</v>
      </c>
      <c r="F74" s="114">
        <v>0.8744</v>
      </c>
      <c r="G74" s="114">
        <v>0.8875</v>
      </c>
      <c r="H74" s="114">
        <v>0.9048</v>
      </c>
      <c r="I74" s="114">
        <v>0.9027</v>
      </c>
      <c r="J74" s="114">
        <v>0.8988</v>
      </c>
      <c r="K74" s="114">
        <v>0.899</v>
      </c>
      <c r="L74" s="114">
        <v>0.8954</v>
      </c>
      <c r="M74" s="114">
        <v>0.9142</v>
      </c>
      <c r="N74" s="114">
        <v>0.9068</v>
      </c>
      <c r="O74" s="114">
        <v>0.8972</v>
      </c>
      <c r="P74" s="114">
        <v>0.8974</v>
      </c>
      <c r="Q74" s="114">
        <v>0.8929</v>
      </c>
      <c r="R74" s="114">
        <v>0.9148</v>
      </c>
      <c r="S74" s="114">
        <v>0.9077</v>
      </c>
      <c r="T74" s="114">
        <v>0.903</v>
      </c>
      <c r="U74" s="114">
        <v>0.8939</v>
      </c>
      <c r="V74" s="114">
        <v>0.8953</v>
      </c>
    </row>
    <row r="75" s="62" customFormat="1" ht="15" spans="1:22">
      <c r="A75" s="103"/>
      <c r="B75" s="99">
        <v>23</v>
      </c>
      <c r="C75" s="114">
        <v>0.8857</v>
      </c>
      <c r="D75" s="114">
        <v>0.8815</v>
      </c>
      <c r="E75" s="114">
        <v>0.8783</v>
      </c>
      <c r="F75" s="114">
        <v>0.8758</v>
      </c>
      <c r="G75" s="114">
        <v>0.8892</v>
      </c>
      <c r="H75" s="114">
        <v>0.9093</v>
      </c>
      <c r="I75" s="114">
        <v>0.9055</v>
      </c>
      <c r="J75" s="114">
        <v>0.9053</v>
      </c>
      <c r="K75" s="114">
        <v>0.9007</v>
      </c>
      <c r="L75" s="114">
        <v>0.8943</v>
      </c>
      <c r="M75" s="114">
        <v>0.9111</v>
      </c>
      <c r="N75" s="114">
        <v>0.9067</v>
      </c>
      <c r="O75" s="114">
        <v>0.8962</v>
      </c>
      <c r="P75" s="114">
        <v>0.8968</v>
      </c>
      <c r="Q75" s="114">
        <v>0.8922</v>
      </c>
      <c r="R75" s="114">
        <v>0.9153</v>
      </c>
      <c r="S75" s="114">
        <v>0.9098</v>
      </c>
      <c r="T75" s="114">
        <v>0.9022</v>
      </c>
      <c r="U75" s="114">
        <v>0.8971</v>
      </c>
      <c r="V75" s="114">
        <v>0.8951</v>
      </c>
    </row>
    <row r="76" s="62" customFormat="1" ht="15" spans="1:22">
      <c r="A76" s="103"/>
      <c r="B76" s="99">
        <v>24</v>
      </c>
      <c r="C76" s="114">
        <v>0.8883</v>
      </c>
      <c r="D76" s="114">
        <v>0.8851</v>
      </c>
      <c r="E76" s="114">
        <v>0.8804</v>
      </c>
      <c r="F76" s="114">
        <v>0.8795</v>
      </c>
      <c r="G76" s="114">
        <v>0.8948</v>
      </c>
      <c r="H76" s="114">
        <v>0.9144</v>
      </c>
      <c r="I76" s="114">
        <v>0.9105</v>
      </c>
      <c r="J76" s="114">
        <v>0.9064</v>
      </c>
      <c r="K76" s="114">
        <v>0.8994</v>
      </c>
      <c r="L76" s="114">
        <v>0.89</v>
      </c>
      <c r="M76" s="114">
        <v>0.9097</v>
      </c>
      <c r="N76" s="114">
        <v>0.9033</v>
      </c>
      <c r="O76" s="114">
        <v>0.8931</v>
      </c>
      <c r="P76" s="114">
        <v>0.8968</v>
      </c>
      <c r="Q76" s="114">
        <v>0.8928</v>
      </c>
      <c r="R76" s="114">
        <v>0.9157</v>
      </c>
      <c r="S76" s="114">
        <v>0.9101</v>
      </c>
      <c r="T76" s="114">
        <v>0.906</v>
      </c>
      <c r="U76" s="114">
        <v>0.8973</v>
      </c>
      <c r="V76" s="114">
        <v>0.8982</v>
      </c>
    </row>
    <row r="77" s="62" customFormat="1" ht="15" spans="1:22">
      <c r="A77" s="103"/>
      <c r="B77" s="99">
        <v>25</v>
      </c>
      <c r="C77" s="114">
        <v>0.8897</v>
      </c>
      <c r="D77" s="114">
        <v>0.8858</v>
      </c>
      <c r="E77" s="114">
        <v>0.883</v>
      </c>
      <c r="F77" s="114">
        <v>0.8831</v>
      </c>
      <c r="G77" s="114">
        <v>0.8977</v>
      </c>
      <c r="H77" s="114">
        <v>0.9163</v>
      </c>
      <c r="I77" s="114">
        <v>0.9123</v>
      </c>
      <c r="J77" s="114">
        <v>0.9032</v>
      </c>
      <c r="K77" s="114">
        <v>0.8948</v>
      </c>
      <c r="L77" s="114">
        <v>0.8883</v>
      </c>
      <c r="M77" s="114">
        <v>0.9085</v>
      </c>
      <c r="N77" s="114">
        <v>0.9013</v>
      </c>
      <c r="O77" s="114">
        <v>0.891</v>
      </c>
      <c r="P77" s="114">
        <v>0.8966</v>
      </c>
      <c r="Q77" s="114">
        <v>0.8956</v>
      </c>
      <c r="R77" s="114">
        <v>0.9192</v>
      </c>
      <c r="S77" s="114">
        <v>0.9129</v>
      </c>
      <c r="T77" s="114">
        <v>0.9099</v>
      </c>
      <c r="U77" s="114">
        <v>0.902</v>
      </c>
      <c r="V77" s="114">
        <v>0.9012</v>
      </c>
    </row>
    <row r="79" ht="16.2" spans="2:2">
      <c r="B79" s="84"/>
    </row>
    <row r="80" s="62" customFormat="1" ht="15" spans="1:22">
      <c r="A80" s="98">
        <v>0.5</v>
      </c>
      <c r="B80" s="99">
        <v>6</v>
      </c>
      <c r="C80" s="102">
        <v>0.7568</v>
      </c>
      <c r="D80" s="102">
        <v>0.7605</v>
      </c>
      <c r="E80" s="102">
        <v>0.7546</v>
      </c>
      <c r="F80" s="102">
        <v>0.7591</v>
      </c>
      <c r="G80" s="115">
        <v>0.7664</v>
      </c>
      <c r="H80" s="102">
        <v>0.7803</v>
      </c>
      <c r="I80" s="102">
        <v>0.786</v>
      </c>
      <c r="J80" s="102">
        <v>0.7813</v>
      </c>
      <c r="K80" s="102">
        <v>0.785</v>
      </c>
      <c r="L80" s="102">
        <v>0.7876</v>
      </c>
      <c r="M80" s="102">
        <v>0.8125</v>
      </c>
      <c r="N80" s="102">
        <v>0.8101</v>
      </c>
      <c r="O80" s="102">
        <v>0.8123</v>
      </c>
      <c r="P80" s="102">
        <v>0.815</v>
      </c>
      <c r="Q80" s="102">
        <v>0.8191</v>
      </c>
      <c r="R80" s="102">
        <v>0.8434</v>
      </c>
      <c r="S80" s="102">
        <v>0.842</v>
      </c>
      <c r="T80" s="102">
        <v>0.8391</v>
      </c>
      <c r="U80" s="102">
        <v>0.8423</v>
      </c>
      <c r="V80" s="102">
        <v>0.8467</v>
      </c>
    </row>
    <row r="81" s="62" customFormat="1" ht="15" spans="1:22">
      <c r="A81" s="98"/>
      <c r="B81" s="99">
        <v>7</v>
      </c>
      <c r="C81" s="102">
        <v>0.767</v>
      </c>
      <c r="D81" s="102">
        <v>0.7676</v>
      </c>
      <c r="E81" s="102">
        <v>0.7624</v>
      </c>
      <c r="F81" s="102">
        <v>0.7683</v>
      </c>
      <c r="G81" s="115">
        <v>0.7759</v>
      </c>
      <c r="H81" s="102">
        <v>0.7971</v>
      </c>
      <c r="I81" s="102">
        <v>0.8008</v>
      </c>
      <c r="J81" s="102">
        <v>0.7977</v>
      </c>
      <c r="K81" s="102">
        <v>0.8065</v>
      </c>
      <c r="L81" s="102">
        <v>0.8093</v>
      </c>
      <c r="M81" s="102">
        <v>0.8357</v>
      </c>
      <c r="N81" s="102">
        <v>0.8357</v>
      </c>
      <c r="O81" s="102">
        <v>0.8352</v>
      </c>
      <c r="P81" s="102">
        <v>0.8375</v>
      </c>
      <c r="Q81" s="102">
        <v>0.8424</v>
      </c>
      <c r="R81" s="102">
        <v>0.8701</v>
      </c>
      <c r="S81" s="102">
        <v>0.8671</v>
      </c>
      <c r="T81" s="102">
        <v>0.8655</v>
      </c>
      <c r="U81" s="102">
        <v>0.8655</v>
      </c>
      <c r="V81" s="102">
        <v>0.869</v>
      </c>
    </row>
    <row r="82" s="62" customFormat="1" ht="15" spans="1:22">
      <c r="A82" s="98"/>
      <c r="B82" s="99">
        <v>8</v>
      </c>
      <c r="C82" s="102">
        <v>0.778</v>
      </c>
      <c r="D82" s="102">
        <v>0.7787</v>
      </c>
      <c r="E82" s="102">
        <v>0.7754</v>
      </c>
      <c r="F82" s="102">
        <v>0.7793</v>
      </c>
      <c r="G82" s="115">
        <v>0.7911</v>
      </c>
      <c r="H82" s="102">
        <v>0.8144</v>
      </c>
      <c r="I82" s="102">
        <v>0.819</v>
      </c>
      <c r="J82" s="102">
        <v>0.8194</v>
      </c>
      <c r="K82" s="102">
        <v>0.823</v>
      </c>
      <c r="L82" s="102">
        <v>0.8283</v>
      </c>
      <c r="M82" s="102">
        <v>0.8606</v>
      </c>
      <c r="N82" s="102">
        <v>0.8572</v>
      </c>
      <c r="O82" s="102">
        <v>0.8558</v>
      </c>
      <c r="P82" s="102">
        <v>0.8585</v>
      </c>
      <c r="Q82" s="102">
        <v>0.8612</v>
      </c>
      <c r="R82" s="102">
        <v>0.8892</v>
      </c>
      <c r="S82" s="102">
        <v>0.8873</v>
      </c>
      <c r="T82" s="102">
        <v>0.8836</v>
      </c>
      <c r="U82" s="102">
        <v>0.8831</v>
      </c>
      <c r="V82" s="102">
        <v>0.8757</v>
      </c>
    </row>
    <row r="83" s="62" customFormat="1" ht="15" spans="1:22">
      <c r="A83" s="98"/>
      <c r="B83" s="99">
        <v>9</v>
      </c>
      <c r="C83" s="102">
        <v>0.7907</v>
      </c>
      <c r="D83" s="102">
        <v>0.7894</v>
      </c>
      <c r="E83" s="102">
        <v>0.7864</v>
      </c>
      <c r="F83" s="102">
        <v>0.7959</v>
      </c>
      <c r="G83" s="115">
        <v>0.8043</v>
      </c>
      <c r="H83" s="102">
        <v>0.8317</v>
      </c>
      <c r="I83" s="102">
        <v>0.8392</v>
      </c>
      <c r="J83" s="102">
        <v>0.8375</v>
      </c>
      <c r="K83" s="102">
        <v>0.8432</v>
      </c>
      <c r="L83" s="102">
        <v>0.8451</v>
      </c>
      <c r="M83" s="102">
        <v>0.8802</v>
      </c>
      <c r="N83" s="102">
        <v>0.8785</v>
      </c>
      <c r="O83" s="102">
        <v>0.8772</v>
      </c>
      <c r="P83" s="102">
        <v>0.8778</v>
      </c>
      <c r="Q83" s="102">
        <v>0.8787</v>
      </c>
      <c r="R83" s="102">
        <v>0.8888</v>
      </c>
      <c r="S83" s="102">
        <v>0.885</v>
      </c>
      <c r="T83" s="102">
        <v>0.8812</v>
      </c>
      <c r="U83" s="102">
        <v>0.8746</v>
      </c>
      <c r="V83" s="102">
        <v>0.8674</v>
      </c>
    </row>
    <row r="84" s="62" customFormat="1" ht="15" spans="1:22">
      <c r="A84" s="98"/>
      <c r="B84" s="99">
        <v>10</v>
      </c>
      <c r="C84" s="102">
        <v>0.8059</v>
      </c>
      <c r="D84" s="102">
        <v>0.8014</v>
      </c>
      <c r="E84" s="102">
        <v>0.8054</v>
      </c>
      <c r="F84" s="102">
        <v>0.8084</v>
      </c>
      <c r="G84" s="115">
        <v>0.8189</v>
      </c>
      <c r="H84" s="102">
        <v>0.8544</v>
      </c>
      <c r="I84" s="102">
        <v>0.8574</v>
      </c>
      <c r="J84" s="102">
        <v>0.8573</v>
      </c>
      <c r="K84" s="102">
        <v>0.8587</v>
      </c>
      <c r="L84" s="102">
        <v>0.8621</v>
      </c>
      <c r="M84" s="102">
        <v>0.889</v>
      </c>
      <c r="N84" s="102">
        <v>0.8884</v>
      </c>
      <c r="O84" s="102">
        <v>0.8855</v>
      </c>
      <c r="P84" s="102">
        <v>0.8796</v>
      </c>
      <c r="Q84" s="102">
        <v>0.8703</v>
      </c>
      <c r="R84" s="102">
        <v>0.8867</v>
      </c>
      <c r="S84" s="102">
        <v>0.8841</v>
      </c>
      <c r="T84" s="102">
        <v>0.8737</v>
      </c>
      <c r="U84" s="102">
        <v>0.8692</v>
      </c>
      <c r="V84" s="102">
        <v>0.8689</v>
      </c>
    </row>
    <row r="85" s="62" customFormat="1" ht="15" spans="1:22">
      <c r="A85" s="98"/>
      <c r="B85" s="99">
        <v>11</v>
      </c>
      <c r="C85" s="102">
        <v>0.8187</v>
      </c>
      <c r="D85" s="102">
        <v>0.8202</v>
      </c>
      <c r="E85" s="102">
        <v>0.8189</v>
      </c>
      <c r="F85" s="102">
        <v>0.8222</v>
      </c>
      <c r="G85" s="115">
        <v>0.833</v>
      </c>
      <c r="H85" s="102">
        <v>0.869</v>
      </c>
      <c r="I85" s="102">
        <v>0.8728</v>
      </c>
      <c r="J85" s="102">
        <v>0.8716</v>
      </c>
      <c r="K85" s="102">
        <v>0.8732</v>
      </c>
      <c r="L85" s="102">
        <v>0.8742</v>
      </c>
      <c r="M85" s="102">
        <v>0.8899</v>
      </c>
      <c r="N85" s="102">
        <v>0.8874</v>
      </c>
      <c r="O85" s="102">
        <v>0.8787</v>
      </c>
      <c r="P85" s="102">
        <v>0.8721</v>
      </c>
      <c r="Q85" s="102">
        <v>0.8688</v>
      </c>
      <c r="R85" s="102">
        <v>0.8831</v>
      </c>
      <c r="S85" s="102">
        <v>0.8798</v>
      </c>
      <c r="T85" s="102">
        <v>0.8742</v>
      </c>
      <c r="U85" s="102">
        <v>0.8734</v>
      </c>
      <c r="V85" s="102">
        <v>0.8689</v>
      </c>
    </row>
    <row r="86" s="62" customFormat="1" ht="15" spans="1:22">
      <c r="A86" s="98"/>
      <c r="B86" s="99">
        <v>12</v>
      </c>
      <c r="C86" s="102">
        <v>0.8324</v>
      </c>
      <c r="D86" s="102">
        <v>0.8329</v>
      </c>
      <c r="E86" s="102">
        <v>0.8324</v>
      </c>
      <c r="F86" s="102">
        <v>0.8372</v>
      </c>
      <c r="G86" s="115">
        <v>0.8467</v>
      </c>
      <c r="H86" s="102">
        <v>0.8804</v>
      </c>
      <c r="I86" s="102">
        <v>0.886</v>
      </c>
      <c r="J86" s="102">
        <v>0.8841</v>
      </c>
      <c r="K86" s="102">
        <v>0.8783</v>
      </c>
      <c r="L86" s="102">
        <v>0.8717</v>
      </c>
      <c r="M86" s="102">
        <v>0.8854</v>
      </c>
      <c r="N86" s="102">
        <v>0.8813</v>
      </c>
      <c r="O86" s="102">
        <v>0.8744</v>
      </c>
      <c r="P86" s="102">
        <v>0.8723</v>
      </c>
      <c r="Q86" s="102">
        <v>0.8669</v>
      </c>
      <c r="R86" s="102">
        <v>0.8837</v>
      </c>
      <c r="S86" s="102">
        <v>0.8797</v>
      </c>
      <c r="T86" s="102">
        <v>0.8749</v>
      </c>
      <c r="U86" s="102">
        <v>0.8736</v>
      </c>
      <c r="V86" s="102">
        <v>0.8742</v>
      </c>
    </row>
    <row r="87" s="62" customFormat="1" ht="15" spans="1:22">
      <c r="A87" s="98"/>
      <c r="B87" s="99">
        <v>13</v>
      </c>
      <c r="C87" s="102">
        <v>0.8524</v>
      </c>
      <c r="D87" s="102">
        <v>0.8496</v>
      </c>
      <c r="E87" s="102">
        <v>0.8491</v>
      </c>
      <c r="F87" s="102">
        <v>0.8508</v>
      </c>
      <c r="G87" s="115">
        <v>0.8613</v>
      </c>
      <c r="H87" s="102">
        <v>0.8864</v>
      </c>
      <c r="I87" s="102">
        <v>0.8919</v>
      </c>
      <c r="J87" s="102">
        <v>0.8867</v>
      </c>
      <c r="K87" s="102">
        <v>0.88</v>
      </c>
      <c r="L87" s="102">
        <v>0.8686</v>
      </c>
      <c r="M87" s="102">
        <v>0.887</v>
      </c>
      <c r="N87" s="102">
        <v>0.8821</v>
      </c>
      <c r="O87" s="102">
        <v>0.8751</v>
      </c>
      <c r="P87" s="102">
        <v>0.8745</v>
      </c>
      <c r="Q87" s="102">
        <v>0.8697</v>
      </c>
      <c r="R87" s="102">
        <v>0.8918</v>
      </c>
      <c r="S87" s="102">
        <v>0.8851</v>
      </c>
      <c r="T87" s="102">
        <v>0.8808</v>
      </c>
      <c r="U87" s="102">
        <v>0.8814</v>
      </c>
      <c r="V87" s="102">
        <v>0.8816</v>
      </c>
    </row>
    <row r="88" s="62" customFormat="1" ht="15" spans="1:22">
      <c r="A88" s="98"/>
      <c r="B88" s="99">
        <v>14</v>
      </c>
      <c r="C88" s="102">
        <v>0.867</v>
      </c>
      <c r="D88" s="102">
        <v>0.8626</v>
      </c>
      <c r="E88" s="102">
        <v>0.8625</v>
      </c>
      <c r="F88" s="102">
        <v>0.8628</v>
      </c>
      <c r="G88" s="115">
        <v>0.872</v>
      </c>
      <c r="H88" s="102">
        <v>0.8828</v>
      </c>
      <c r="I88" s="102">
        <v>0.8899</v>
      </c>
      <c r="J88" s="102">
        <v>0.883</v>
      </c>
      <c r="K88" s="102">
        <v>0.8753</v>
      </c>
      <c r="L88" s="102">
        <v>0.8698</v>
      </c>
      <c r="M88" s="102">
        <v>0.8873</v>
      </c>
      <c r="N88" s="102">
        <v>0.8837</v>
      </c>
      <c r="O88" s="102">
        <v>0.8792</v>
      </c>
      <c r="P88" s="102">
        <v>0.8747</v>
      </c>
      <c r="Q88" s="102">
        <v>0.8753</v>
      </c>
      <c r="R88" s="102">
        <v>0.8963</v>
      </c>
      <c r="S88" s="102">
        <v>0.8918</v>
      </c>
      <c r="T88" s="102">
        <v>0.8892</v>
      </c>
      <c r="U88" s="102">
        <v>0.888</v>
      </c>
      <c r="V88" s="102">
        <v>0.8877</v>
      </c>
    </row>
    <row r="89" s="62" customFormat="1" ht="15" spans="1:22">
      <c r="A89" s="98"/>
      <c r="B89" s="99">
        <v>15</v>
      </c>
      <c r="C89" s="102">
        <v>0.8782</v>
      </c>
      <c r="D89" s="102">
        <v>0.8743</v>
      </c>
      <c r="E89" s="102">
        <v>0.8713</v>
      </c>
      <c r="F89" s="102">
        <v>0.8722</v>
      </c>
      <c r="G89" s="115">
        <v>0.8789</v>
      </c>
      <c r="H89" s="102">
        <v>0.8799</v>
      </c>
      <c r="I89" s="102">
        <v>0.8868</v>
      </c>
      <c r="J89" s="102">
        <v>0.8778</v>
      </c>
      <c r="K89" s="102">
        <v>0.8743</v>
      </c>
      <c r="L89" s="102">
        <v>0.8692</v>
      </c>
      <c r="M89" s="102">
        <v>0.8896</v>
      </c>
      <c r="N89" s="102">
        <v>0.8853</v>
      </c>
      <c r="O89" s="102">
        <v>0.8803</v>
      </c>
      <c r="P89" s="102">
        <v>0.88</v>
      </c>
      <c r="Q89" s="102">
        <v>0.8783</v>
      </c>
      <c r="R89" s="102">
        <v>0.9024</v>
      </c>
      <c r="S89" s="102">
        <v>0.8971</v>
      </c>
      <c r="T89" s="102">
        <v>0.8946</v>
      </c>
      <c r="U89" s="102">
        <v>0.8941</v>
      </c>
      <c r="V89" s="102">
        <v>0.8964</v>
      </c>
    </row>
    <row r="90" s="62" customFormat="1" ht="15" spans="1:22">
      <c r="A90" s="98"/>
      <c r="B90" s="99">
        <v>16</v>
      </c>
      <c r="C90" s="102">
        <v>0.8849</v>
      </c>
      <c r="D90" s="102">
        <v>0.8837</v>
      </c>
      <c r="E90" s="102">
        <v>0.8822</v>
      </c>
      <c r="F90" s="102">
        <v>0.8768</v>
      </c>
      <c r="G90" s="115">
        <v>0.8768</v>
      </c>
      <c r="H90" s="102">
        <v>0.8798</v>
      </c>
      <c r="I90" s="102">
        <v>0.8822</v>
      </c>
      <c r="J90" s="102">
        <v>0.8774</v>
      </c>
      <c r="K90" s="102">
        <v>0.8736</v>
      </c>
      <c r="L90" s="102">
        <v>0.87</v>
      </c>
      <c r="M90" s="102">
        <v>0.8923</v>
      </c>
      <c r="N90" s="102">
        <v>0.8888</v>
      </c>
      <c r="O90" s="102">
        <v>0.8833</v>
      </c>
      <c r="P90" s="102">
        <v>0.8844</v>
      </c>
      <c r="Q90" s="102">
        <v>0.8841</v>
      </c>
      <c r="R90" s="102">
        <v>0.9095</v>
      </c>
      <c r="S90" s="102">
        <v>0.906</v>
      </c>
      <c r="T90" s="102">
        <v>0.9012</v>
      </c>
      <c r="U90" s="102">
        <v>0.9024</v>
      </c>
      <c r="V90" s="102">
        <v>0.9023</v>
      </c>
    </row>
    <row r="91" s="62" customFormat="1" ht="15" spans="1:22">
      <c r="A91" s="98"/>
      <c r="B91" s="99">
        <v>17</v>
      </c>
      <c r="C91" s="102">
        <v>0.8872</v>
      </c>
      <c r="D91" s="102">
        <v>0.8852</v>
      </c>
      <c r="E91" s="102">
        <v>0.8772</v>
      </c>
      <c r="F91" s="102">
        <v>0.8714</v>
      </c>
      <c r="G91" s="115">
        <v>0.8717</v>
      </c>
      <c r="H91" s="102">
        <v>0.8791</v>
      </c>
      <c r="I91" s="102">
        <v>0.8835</v>
      </c>
      <c r="J91" s="102">
        <v>0.8775</v>
      </c>
      <c r="K91" s="102">
        <v>0.8731</v>
      </c>
      <c r="L91" s="102">
        <v>0.8717</v>
      </c>
      <c r="M91" s="102">
        <v>0.8965</v>
      </c>
      <c r="N91" s="102">
        <v>0.8914</v>
      </c>
      <c r="O91" s="102">
        <v>0.8903</v>
      </c>
      <c r="P91" s="102">
        <v>0.8875</v>
      </c>
      <c r="Q91" s="102">
        <v>0.8898</v>
      </c>
      <c r="R91" s="102">
        <v>0.916</v>
      </c>
      <c r="S91" s="102">
        <v>0.9115</v>
      </c>
      <c r="T91" s="102">
        <v>0.9101</v>
      </c>
      <c r="U91" s="102">
        <v>0.908</v>
      </c>
      <c r="V91" s="102">
        <v>0.9006</v>
      </c>
    </row>
    <row r="92" s="62" customFormat="1" ht="15" spans="1:22">
      <c r="A92" s="98"/>
      <c r="B92" s="99">
        <v>18</v>
      </c>
      <c r="C92" s="102">
        <v>0.8849</v>
      </c>
      <c r="D92" s="102">
        <v>0.8809</v>
      </c>
      <c r="E92" s="102">
        <v>0.8755</v>
      </c>
      <c r="F92" s="102">
        <v>0.8696</v>
      </c>
      <c r="G92" s="115">
        <v>0.8726</v>
      </c>
      <c r="H92" s="102">
        <v>0.8818</v>
      </c>
      <c r="I92" s="102">
        <v>0.882</v>
      </c>
      <c r="J92" s="102">
        <v>0.8793</v>
      </c>
      <c r="K92" s="102">
        <v>0.8771</v>
      </c>
      <c r="L92" s="102">
        <v>0.8776</v>
      </c>
      <c r="M92" s="102">
        <v>0.9038</v>
      </c>
      <c r="N92" s="102">
        <v>0.8957</v>
      </c>
      <c r="O92" s="102">
        <v>0.894</v>
      </c>
      <c r="P92" s="102">
        <v>0.8951</v>
      </c>
      <c r="Q92" s="102">
        <v>0.8964</v>
      </c>
      <c r="R92" s="102">
        <v>0.9207</v>
      </c>
      <c r="S92" s="102">
        <v>0.9168</v>
      </c>
      <c r="T92" s="102">
        <v>0.9114</v>
      </c>
      <c r="U92" s="102">
        <v>0.9055</v>
      </c>
      <c r="V92" s="102">
        <v>0.8953</v>
      </c>
    </row>
    <row r="93" s="62" customFormat="1" ht="15" spans="1:22">
      <c r="A93" s="98"/>
      <c r="B93" s="99">
        <v>19</v>
      </c>
      <c r="C93" s="102">
        <v>0.8827</v>
      </c>
      <c r="D93" s="102">
        <v>0.8792</v>
      </c>
      <c r="E93" s="102">
        <v>0.8714</v>
      </c>
      <c r="F93" s="102">
        <v>0.8676</v>
      </c>
      <c r="G93" s="115">
        <v>0.8704</v>
      </c>
      <c r="H93" s="102">
        <v>0.8825</v>
      </c>
      <c r="I93" s="102">
        <v>0.8859</v>
      </c>
      <c r="J93" s="102">
        <v>0.8821</v>
      </c>
      <c r="K93" s="102">
        <v>0.8793</v>
      </c>
      <c r="L93" s="102">
        <v>0.8795</v>
      </c>
      <c r="M93" s="102">
        <v>0.9083</v>
      </c>
      <c r="N93" s="102">
        <v>0.9056</v>
      </c>
      <c r="O93" s="102">
        <v>0.8993</v>
      </c>
      <c r="P93" s="102">
        <v>0.8996</v>
      </c>
      <c r="Q93" s="102">
        <v>0.9016</v>
      </c>
      <c r="R93" s="102">
        <v>0.9222</v>
      </c>
      <c r="S93" s="102">
        <v>0.9157</v>
      </c>
      <c r="T93" s="102">
        <v>0.9082</v>
      </c>
      <c r="U93" s="102">
        <v>0.9002</v>
      </c>
      <c r="V93" s="102">
        <v>0.8944</v>
      </c>
    </row>
    <row r="94" s="62" customFormat="1" ht="15" spans="1:22">
      <c r="A94" s="98"/>
      <c r="B94" s="99">
        <v>20</v>
      </c>
      <c r="C94" s="102">
        <v>0.8813</v>
      </c>
      <c r="D94" s="102">
        <v>0.875</v>
      </c>
      <c r="E94" s="102">
        <v>0.8692</v>
      </c>
      <c r="F94" s="102">
        <v>0.8647</v>
      </c>
      <c r="G94" s="115">
        <v>0.8687</v>
      </c>
      <c r="H94" s="102">
        <v>0.885</v>
      </c>
      <c r="I94" s="102">
        <v>0.8891</v>
      </c>
      <c r="J94" s="102">
        <v>0.8845</v>
      </c>
      <c r="K94" s="102">
        <v>0.8842</v>
      </c>
      <c r="L94" s="102">
        <v>0.884</v>
      </c>
      <c r="M94" s="102">
        <v>0.9128</v>
      </c>
      <c r="N94" s="102">
        <v>0.9095</v>
      </c>
      <c r="O94" s="102">
        <v>0.9068</v>
      </c>
      <c r="P94" s="102">
        <v>0.9066</v>
      </c>
      <c r="Q94" s="102">
        <v>0.8992</v>
      </c>
      <c r="R94" s="102">
        <v>0.9182</v>
      </c>
      <c r="S94" s="102">
        <v>0.9107</v>
      </c>
      <c r="T94" s="102">
        <v>0.9035</v>
      </c>
      <c r="U94" s="102">
        <v>0.896</v>
      </c>
      <c r="V94" s="102">
        <v>0.8925</v>
      </c>
    </row>
    <row r="95" s="62" customFormat="1" ht="15" spans="1:22">
      <c r="A95" s="98"/>
      <c r="B95" s="99">
        <v>21</v>
      </c>
      <c r="C95" s="102">
        <v>0.8797</v>
      </c>
      <c r="D95" s="102">
        <v>0.8773</v>
      </c>
      <c r="E95" s="102">
        <v>0.8706</v>
      </c>
      <c r="F95" s="102">
        <v>0.8682</v>
      </c>
      <c r="G95" s="115">
        <v>0.8691</v>
      </c>
      <c r="H95" s="102">
        <v>0.8874</v>
      </c>
      <c r="I95" s="102">
        <v>0.8902</v>
      </c>
      <c r="J95" s="102">
        <v>0.8878</v>
      </c>
      <c r="K95" s="102">
        <v>0.8876</v>
      </c>
      <c r="L95" s="102">
        <v>0.8878</v>
      </c>
      <c r="M95" s="102">
        <v>0.9198</v>
      </c>
      <c r="N95" s="102">
        <v>0.914</v>
      </c>
      <c r="O95" s="102">
        <v>0.9121</v>
      </c>
      <c r="P95" s="102">
        <v>0.9042</v>
      </c>
      <c r="Q95" s="102">
        <v>0.8975</v>
      </c>
      <c r="R95" s="102">
        <v>0.9141</v>
      </c>
      <c r="S95" s="102">
        <v>0.9095</v>
      </c>
      <c r="T95" s="102">
        <v>0.9026</v>
      </c>
      <c r="U95" s="102">
        <v>0.8971</v>
      </c>
      <c r="V95" s="102">
        <v>0.8905</v>
      </c>
    </row>
    <row r="96" s="62" customFormat="1" ht="15" spans="1:22">
      <c r="A96" s="98"/>
      <c r="B96" s="99">
        <v>22</v>
      </c>
      <c r="C96" s="102">
        <v>0.881</v>
      </c>
      <c r="D96" s="102">
        <v>0.8752</v>
      </c>
      <c r="E96" s="102">
        <v>0.87</v>
      </c>
      <c r="F96" s="102">
        <v>0.8667</v>
      </c>
      <c r="G96" s="115">
        <v>0.8727</v>
      </c>
      <c r="H96" s="102">
        <v>0.8934</v>
      </c>
      <c r="I96" s="102">
        <v>0.8958</v>
      </c>
      <c r="J96" s="102">
        <v>0.8911</v>
      </c>
      <c r="K96" s="102">
        <v>0.8922</v>
      </c>
      <c r="L96" s="102">
        <v>0.8937</v>
      </c>
      <c r="M96" s="102">
        <v>0.923</v>
      </c>
      <c r="N96" s="102">
        <v>0.917</v>
      </c>
      <c r="O96" s="102">
        <v>0.912</v>
      </c>
      <c r="P96" s="102">
        <v>0.9016</v>
      </c>
      <c r="Q96" s="102">
        <v>0.8934</v>
      </c>
      <c r="R96" s="102">
        <v>0.9146</v>
      </c>
      <c r="S96" s="102">
        <v>0.9073</v>
      </c>
      <c r="T96" s="102">
        <v>0.9004</v>
      </c>
      <c r="U96" s="102">
        <v>0.8955</v>
      </c>
      <c r="V96" s="102">
        <v>0.8925</v>
      </c>
    </row>
    <row r="97" s="62" customFormat="1" ht="15" spans="1:22">
      <c r="A97" s="98"/>
      <c r="B97" s="99">
        <v>23</v>
      </c>
      <c r="C97" s="102">
        <v>0.8798</v>
      </c>
      <c r="D97" s="102">
        <v>0.8742</v>
      </c>
      <c r="E97" s="102">
        <v>0.8705</v>
      </c>
      <c r="F97" s="102">
        <v>0.8683</v>
      </c>
      <c r="G97" s="115">
        <v>0.8745</v>
      </c>
      <c r="H97" s="102">
        <v>0.8964</v>
      </c>
      <c r="I97" s="102">
        <v>0.8992</v>
      </c>
      <c r="J97" s="102">
        <v>0.8949</v>
      </c>
      <c r="K97" s="102">
        <v>0.8981</v>
      </c>
      <c r="L97" s="102">
        <v>0.8983</v>
      </c>
      <c r="M97" s="102">
        <v>0.9199</v>
      </c>
      <c r="N97" s="102">
        <v>0.9171</v>
      </c>
      <c r="O97" s="102">
        <v>0.9067</v>
      </c>
      <c r="P97" s="102">
        <v>0.8993</v>
      </c>
      <c r="Q97" s="102">
        <v>0.8931</v>
      </c>
      <c r="R97" s="102">
        <v>0.9121</v>
      </c>
      <c r="S97" s="102">
        <v>0.908</v>
      </c>
      <c r="T97" s="102">
        <v>0.8985</v>
      </c>
      <c r="U97" s="102">
        <v>0.8966</v>
      </c>
      <c r="V97" s="102">
        <v>0.8921</v>
      </c>
    </row>
    <row r="98" s="62" customFormat="1" ht="15" spans="1:22">
      <c r="A98" s="98"/>
      <c r="B98" s="99">
        <v>24</v>
      </c>
      <c r="C98" s="102">
        <v>0.8823</v>
      </c>
      <c r="D98" s="102">
        <v>0.8748</v>
      </c>
      <c r="E98" s="102">
        <v>0.8692</v>
      </c>
      <c r="F98" s="102">
        <v>0.8696</v>
      </c>
      <c r="G98" s="115">
        <v>0.8765</v>
      </c>
      <c r="H98" s="102">
        <v>0.9018</v>
      </c>
      <c r="I98" s="102">
        <v>0.905</v>
      </c>
      <c r="J98" s="102">
        <v>0.9033</v>
      </c>
      <c r="K98" s="102">
        <v>0.9016</v>
      </c>
      <c r="L98" s="102">
        <v>0.9017</v>
      </c>
      <c r="M98" s="102">
        <v>0.9165</v>
      </c>
      <c r="N98" s="102">
        <v>0.9119</v>
      </c>
      <c r="O98" s="102">
        <v>0.904</v>
      </c>
      <c r="P98" s="102">
        <v>0.8987</v>
      </c>
      <c r="Q98" s="102">
        <v>0.8908</v>
      </c>
      <c r="R98" s="102">
        <v>0.9135</v>
      </c>
      <c r="S98" s="102">
        <v>0.9068</v>
      </c>
      <c r="T98" s="102">
        <v>0.9015</v>
      </c>
      <c r="U98" s="102">
        <v>0.8967</v>
      </c>
      <c r="V98" s="102">
        <v>0.8959</v>
      </c>
    </row>
    <row r="99" s="62" customFormat="1" ht="15" spans="1:22">
      <c r="A99" s="98"/>
      <c r="B99" s="99">
        <v>25</v>
      </c>
      <c r="C99" s="102">
        <v>0.8813</v>
      </c>
      <c r="D99" s="102">
        <v>0.8791</v>
      </c>
      <c r="E99" s="102">
        <v>0.874</v>
      </c>
      <c r="F99" s="102">
        <v>0.8727</v>
      </c>
      <c r="G99" s="115">
        <v>0.8782</v>
      </c>
      <c r="H99" s="102">
        <v>0.9067</v>
      </c>
      <c r="I99" s="102">
        <v>0.9082</v>
      </c>
      <c r="J99" s="102">
        <v>0.9076</v>
      </c>
      <c r="K99" s="102">
        <v>0.9052</v>
      </c>
      <c r="L99" s="102">
        <v>0.899</v>
      </c>
      <c r="M99" s="102">
        <v>0.9163</v>
      </c>
      <c r="N99" s="102">
        <v>0.9085</v>
      </c>
      <c r="O99" s="102">
        <v>0.9009</v>
      </c>
      <c r="P99" s="102">
        <v>0.8957</v>
      </c>
      <c r="Q99" s="102">
        <v>0.8912</v>
      </c>
      <c r="R99" s="102">
        <v>0.913</v>
      </c>
      <c r="S99" s="102">
        <v>0.9062</v>
      </c>
      <c r="T99" s="102">
        <v>0.9013</v>
      </c>
      <c r="U99" s="102">
        <v>0.8995</v>
      </c>
      <c r="V99" s="102">
        <v>0.8967</v>
      </c>
    </row>
    <row r="101" ht="16.2" spans="2:2">
      <c r="B101" s="84"/>
    </row>
    <row r="102" s="62" customFormat="1" ht="15" spans="1:22">
      <c r="A102" s="98">
        <v>0.45</v>
      </c>
      <c r="B102" s="99">
        <v>6</v>
      </c>
      <c r="C102" s="102">
        <v>0.7611</v>
      </c>
      <c r="D102" s="102">
        <v>0.7632</v>
      </c>
      <c r="E102" s="102">
        <v>0.7583</v>
      </c>
      <c r="F102" s="102">
        <v>0.763</v>
      </c>
      <c r="G102" s="102">
        <v>0.758</v>
      </c>
      <c r="H102" s="102">
        <v>0.7714</v>
      </c>
      <c r="I102" s="102">
        <v>0.7732</v>
      </c>
      <c r="J102" s="102">
        <v>0.7694</v>
      </c>
      <c r="K102" s="102">
        <v>0.7721</v>
      </c>
      <c r="L102" s="102">
        <v>0.7738</v>
      </c>
      <c r="M102" s="102">
        <v>0.7946</v>
      </c>
      <c r="N102" s="102">
        <v>0.7934</v>
      </c>
      <c r="O102" s="102">
        <v>0.7908</v>
      </c>
      <c r="P102" s="102">
        <v>0.7988</v>
      </c>
      <c r="Q102" s="102">
        <v>0.8017</v>
      </c>
      <c r="R102" s="102">
        <v>0.8207</v>
      </c>
      <c r="S102" s="102">
        <v>0.8178</v>
      </c>
      <c r="T102" s="102">
        <v>0.8193</v>
      </c>
      <c r="U102" s="102">
        <v>0.8222</v>
      </c>
      <c r="V102" s="102">
        <v>0.8283</v>
      </c>
    </row>
    <row r="103" s="62" customFormat="1" ht="15" spans="1:22">
      <c r="A103" s="98"/>
      <c r="B103" s="99">
        <v>7</v>
      </c>
      <c r="C103" s="102">
        <v>0.7674</v>
      </c>
      <c r="D103" s="102">
        <v>0.7689</v>
      </c>
      <c r="E103" s="102">
        <v>0.7842</v>
      </c>
      <c r="F103" s="102">
        <v>0.7686</v>
      </c>
      <c r="G103" s="102">
        <v>0.7665</v>
      </c>
      <c r="H103" s="102">
        <v>0.7864</v>
      </c>
      <c r="I103" s="102">
        <v>0.7861</v>
      </c>
      <c r="J103" s="102">
        <v>0.783</v>
      </c>
      <c r="K103" s="102">
        <v>0.7864</v>
      </c>
      <c r="L103" s="102">
        <v>0.7931</v>
      </c>
      <c r="M103" s="102">
        <v>0.8155</v>
      </c>
      <c r="N103" s="102">
        <v>0.8131</v>
      </c>
      <c r="O103" s="102">
        <v>0.8158</v>
      </c>
      <c r="P103" s="102">
        <v>0.8201</v>
      </c>
      <c r="Q103" s="102">
        <v>0.8233</v>
      </c>
      <c r="R103" s="102">
        <v>0.8452</v>
      </c>
      <c r="S103" s="102">
        <v>0.8444</v>
      </c>
      <c r="T103" s="102">
        <v>0.8428</v>
      </c>
      <c r="U103" s="102">
        <v>0.8469</v>
      </c>
      <c r="V103" s="102">
        <v>0.8506</v>
      </c>
    </row>
    <row r="104" s="62" customFormat="1" ht="15" spans="1:22">
      <c r="A104" s="98"/>
      <c r="B104" s="99">
        <v>8</v>
      </c>
      <c r="C104" s="102">
        <v>0.7754</v>
      </c>
      <c r="D104" s="102">
        <v>0.7762</v>
      </c>
      <c r="E104" s="102">
        <v>0.7715</v>
      </c>
      <c r="F104" s="102">
        <v>0.776</v>
      </c>
      <c r="G104" s="102">
        <v>0.7765</v>
      </c>
      <c r="H104" s="102">
        <v>0.8019</v>
      </c>
      <c r="I104" s="102">
        <v>0.8002</v>
      </c>
      <c r="J104" s="102">
        <v>0.798</v>
      </c>
      <c r="K104" s="102">
        <v>0.805</v>
      </c>
      <c r="L104" s="102">
        <v>0.8088</v>
      </c>
      <c r="M104" s="102">
        <v>0.8378</v>
      </c>
      <c r="N104" s="102">
        <v>0.8372</v>
      </c>
      <c r="O104" s="102">
        <v>0.835</v>
      </c>
      <c r="P104" s="102">
        <v>0.8389</v>
      </c>
      <c r="Q104" s="102">
        <v>0.8433</v>
      </c>
      <c r="R104" s="102">
        <v>0.8722</v>
      </c>
      <c r="S104" s="102">
        <v>0.8681</v>
      </c>
      <c r="T104" s="102">
        <v>0.8677</v>
      </c>
      <c r="U104" s="102">
        <v>0.8682</v>
      </c>
      <c r="V104" s="102">
        <v>0.871</v>
      </c>
    </row>
    <row r="105" s="62" customFormat="1" ht="15" spans="1:22">
      <c r="A105" s="98"/>
      <c r="B105" s="99">
        <v>9</v>
      </c>
      <c r="C105" s="102">
        <v>0.7852</v>
      </c>
      <c r="D105" s="102">
        <v>0.785</v>
      </c>
      <c r="E105" s="102">
        <v>0.781</v>
      </c>
      <c r="F105" s="102">
        <v>0.7854</v>
      </c>
      <c r="G105" s="102">
        <v>0.7934</v>
      </c>
      <c r="H105" s="102">
        <v>0.8183</v>
      </c>
      <c r="I105" s="102">
        <v>0.8151</v>
      </c>
      <c r="J105" s="102">
        <v>0.8177</v>
      </c>
      <c r="K105" s="102">
        <v>0.8226</v>
      </c>
      <c r="L105" s="102">
        <v>0.8276</v>
      </c>
      <c r="M105" s="102">
        <v>0.8614</v>
      </c>
      <c r="N105" s="102">
        <v>0.8562</v>
      </c>
      <c r="O105" s="102">
        <v>0.8559</v>
      </c>
      <c r="P105" s="102">
        <v>0.8575</v>
      </c>
      <c r="Q105" s="102">
        <v>0.8616</v>
      </c>
      <c r="R105" s="102">
        <v>0.8888</v>
      </c>
      <c r="S105" s="102">
        <v>0.8847</v>
      </c>
      <c r="T105" s="102">
        <v>0.8814</v>
      </c>
      <c r="U105" s="102">
        <v>0.8775</v>
      </c>
      <c r="V105" s="102">
        <v>0.8686</v>
      </c>
    </row>
    <row r="106" s="62" customFormat="1" ht="15" spans="1:22">
      <c r="A106" s="98"/>
      <c r="B106" s="99">
        <v>10</v>
      </c>
      <c r="C106" s="102">
        <v>0.7964</v>
      </c>
      <c r="D106" s="102">
        <v>0.7946</v>
      </c>
      <c r="E106" s="102">
        <v>0.7915</v>
      </c>
      <c r="F106" s="102">
        <v>0.8011</v>
      </c>
      <c r="G106" s="102">
        <v>0.8043</v>
      </c>
      <c r="H106" s="102">
        <v>0.8346</v>
      </c>
      <c r="I106" s="102">
        <v>0.8363</v>
      </c>
      <c r="J106" s="102">
        <v>0.8348</v>
      </c>
      <c r="K106" s="102">
        <v>0.8394</v>
      </c>
      <c r="L106" s="102">
        <v>0.8424</v>
      </c>
      <c r="M106" s="102">
        <v>0.8775</v>
      </c>
      <c r="N106" s="102">
        <v>0.8761</v>
      </c>
      <c r="O106" s="102">
        <v>0.8716</v>
      </c>
      <c r="P106" s="102">
        <v>0.873</v>
      </c>
      <c r="Q106" s="102">
        <v>0.8715</v>
      </c>
      <c r="R106" s="102">
        <v>0.8864</v>
      </c>
      <c r="S106" s="102">
        <v>0.8824</v>
      </c>
      <c r="T106" s="102">
        <v>0.8754</v>
      </c>
      <c r="U106" s="102">
        <v>0.8703</v>
      </c>
      <c r="V106" s="102">
        <v>0.8648</v>
      </c>
    </row>
    <row r="107" s="62" customFormat="1" ht="15" spans="1:22">
      <c r="A107" s="98"/>
      <c r="B107" s="99">
        <v>11</v>
      </c>
      <c r="C107" s="102">
        <v>0.8107</v>
      </c>
      <c r="D107" s="102">
        <v>0.8085</v>
      </c>
      <c r="E107" s="102">
        <v>0.8098</v>
      </c>
      <c r="F107" s="102">
        <v>0.8135</v>
      </c>
      <c r="G107" s="102">
        <v>0.8174</v>
      </c>
      <c r="H107" s="102">
        <v>0.8568</v>
      </c>
      <c r="I107" s="102">
        <v>0.8525</v>
      </c>
      <c r="J107" s="102">
        <v>0.8523</v>
      </c>
      <c r="K107" s="102">
        <v>0.8537</v>
      </c>
      <c r="L107" s="102">
        <v>0.8565</v>
      </c>
      <c r="M107" s="102">
        <v>0.8877</v>
      </c>
      <c r="N107" s="102">
        <v>0.8835</v>
      </c>
      <c r="O107" s="102">
        <v>0.8784</v>
      </c>
      <c r="P107" s="102">
        <v>0.8749</v>
      </c>
      <c r="Q107" s="102">
        <v>0.8684</v>
      </c>
      <c r="R107" s="102">
        <v>0.88</v>
      </c>
      <c r="S107" s="102">
        <v>0.8783</v>
      </c>
      <c r="T107" s="102">
        <v>0.8698</v>
      </c>
      <c r="U107" s="102">
        <v>0.8677</v>
      </c>
      <c r="V107" s="102">
        <v>0.8637</v>
      </c>
    </row>
    <row r="108" s="62" customFormat="1" ht="15" spans="1:22">
      <c r="A108" s="98"/>
      <c r="B108" s="99">
        <v>12</v>
      </c>
      <c r="C108" s="102">
        <v>0.8229</v>
      </c>
      <c r="D108" s="102">
        <v>0.8195</v>
      </c>
      <c r="E108" s="102">
        <v>0.821</v>
      </c>
      <c r="F108" s="102">
        <v>0.8268</v>
      </c>
      <c r="G108" s="102">
        <v>0.8301</v>
      </c>
      <c r="H108" s="102">
        <v>0.8694</v>
      </c>
      <c r="I108" s="102">
        <v>0.8674</v>
      </c>
      <c r="J108" s="102">
        <v>0.8665</v>
      </c>
      <c r="K108" s="102">
        <v>0.8662</v>
      </c>
      <c r="L108" s="102">
        <v>0.8707</v>
      </c>
      <c r="M108" s="102">
        <v>0.8848</v>
      </c>
      <c r="N108" s="102">
        <v>0.8825</v>
      </c>
      <c r="O108" s="102">
        <v>0.8765</v>
      </c>
      <c r="P108" s="102">
        <v>0.8696</v>
      </c>
      <c r="Q108" s="102">
        <v>0.8629</v>
      </c>
      <c r="R108" s="102">
        <v>0.8803</v>
      </c>
      <c r="S108" s="102">
        <v>0.8775</v>
      </c>
      <c r="T108" s="102">
        <v>0.8696</v>
      </c>
      <c r="U108" s="102">
        <v>0.8671</v>
      </c>
      <c r="V108" s="102">
        <v>0.8642</v>
      </c>
    </row>
    <row r="109" s="62" customFormat="1" ht="15" spans="1:22">
      <c r="A109" s="98"/>
      <c r="B109" s="99">
        <v>13</v>
      </c>
      <c r="C109" s="102">
        <v>0.8374</v>
      </c>
      <c r="D109" s="102">
        <v>0.8391</v>
      </c>
      <c r="E109" s="102">
        <v>0.8359</v>
      </c>
      <c r="F109" s="102">
        <v>0.8411</v>
      </c>
      <c r="G109" s="102">
        <v>0.8457</v>
      </c>
      <c r="H109" s="102">
        <v>0.8842</v>
      </c>
      <c r="I109" s="102">
        <v>0.8817</v>
      </c>
      <c r="J109" s="102">
        <v>0.8804</v>
      </c>
      <c r="K109" s="102">
        <v>0.8818</v>
      </c>
      <c r="L109" s="102">
        <v>0.8715</v>
      </c>
      <c r="M109" s="102">
        <v>0.886</v>
      </c>
      <c r="N109" s="102">
        <v>0.8809</v>
      </c>
      <c r="O109" s="102">
        <v>0.8728</v>
      </c>
      <c r="P109" s="102">
        <v>0.8717</v>
      </c>
      <c r="Q109" s="102">
        <v>0.8669</v>
      </c>
      <c r="R109" s="102">
        <v>0.8832</v>
      </c>
      <c r="S109" s="102">
        <v>0.8782</v>
      </c>
      <c r="T109" s="102">
        <v>0.8736</v>
      </c>
      <c r="U109" s="102">
        <v>0.8731</v>
      </c>
      <c r="V109" s="102">
        <v>0.8715</v>
      </c>
    </row>
    <row r="110" s="62" customFormat="1" ht="15" spans="1:22">
      <c r="A110" s="98"/>
      <c r="B110" s="99">
        <v>14</v>
      </c>
      <c r="C110" s="102">
        <v>0.8497</v>
      </c>
      <c r="D110" s="102">
        <v>0.8509</v>
      </c>
      <c r="E110" s="102">
        <v>0.8479</v>
      </c>
      <c r="F110" s="102">
        <v>0.8526</v>
      </c>
      <c r="G110" s="102">
        <v>0.8571</v>
      </c>
      <c r="H110" s="102">
        <v>0.8888</v>
      </c>
      <c r="I110" s="102">
        <v>0.8867</v>
      </c>
      <c r="J110" s="102">
        <v>0.8802</v>
      </c>
      <c r="K110" s="102">
        <v>0.8777</v>
      </c>
      <c r="L110" s="102">
        <v>0.87</v>
      </c>
      <c r="M110" s="102">
        <v>0.883</v>
      </c>
      <c r="N110" s="102">
        <v>0.8803</v>
      </c>
      <c r="O110" s="102">
        <v>0.8706</v>
      </c>
      <c r="P110" s="102">
        <v>0.8708</v>
      </c>
      <c r="Q110" s="102">
        <v>0.8663</v>
      </c>
      <c r="R110" s="102">
        <v>0.8868</v>
      </c>
      <c r="S110" s="102">
        <v>0.8828</v>
      </c>
      <c r="T110" s="102">
        <v>0.8778</v>
      </c>
      <c r="U110" s="102">
        <v>0.8754</v>
      </c>
      <c r="V110" s="102">
        <v>0.8746</v>
      </c>
    </row>
    <row r="111" s="62" customFormat="1" ht="15" spans="1:22">
      <c r="A111" s="98"/>
      <c r="B111" s="99">
        <v>15</v>
      </c>
      <c r="C111" s="102">
        <v>0.8653</v>
      </c>
      <c r="D111" s="102">
        <v>0.8611</v>
      </c>
      <c r="E111" s="102">
        <v>0.86</v>
      </c>
      <c r="F111" s="102">
        <v>0.863</v>
      </c>
      <c r="G111" s="102">
        <v>0.8671</v>
      </c>
      <c r="H111" s="102">
        <v>0.8877</v>
      </c>
      <c r="I111" s="102">
        <v>0.8826</v>
      </c>
      <c r="J111" s="102">
        <v>0.8792</v>
      </c>
      <c r="K111" s="102">
        <v>0.8718</v>
      </c>
      <c r="L111" s="102">
        <v>0.867</v>
      </c>
      <c r="M111" s="102">
        <v>0.8833</v>
      </c>
      <c r="N111" s="102">
        <v>0.8784</v>
      </c>
      <c r="O111" s="102">
        <v>0.8739</v>
      </c>
      <c r="P111" s="102">
        <v>0.8702</v>
      </c>
      <c r="Q111" s="102">
        <v>0.8696</v>
      </c>
      <c r="R111" s="102">
        <v>0.8904</v>
      </c>
      <c r="S111" s="102">
        <v>0.886</v>
      </c>
      <c r="T111" s="102">
        <v>0.8817</v>
      </c>
      <c r="U111" s="102">
        <v>0.8822</v>
      </c>
      <c r="V111" s="102">
        <v>0.8819</v>
      </c>
    </row>
    <row r="112" s="62" customFormat="1" ht="15" spans="1:22">
      <c r="A112" s="98"/>
      <c r="B112" s="99">
        <v>16</v>
      </c>
      <c r="C112" s="102">
        <v>0.8746</v>
      </c>
      <c r="D112" s="102">
        <v>0.8724</v>
      </c>
      <c r="E112" s="102">
        <v>0.8726</v>
      </c>
      <c r="F112" s="102">
        <v>0.8724</v>
      </c>
      <c r="G112" s="102">
        <v>0.8762</v>
      </c>
      <c r="H112" s="102">
        <v>0.8865</v>
      </c>
      <c r="I112" s="102">
        <v>0.8842</v>
      </c>
      <c r="J112" s="102">
        <v>0.8758</v>
      </c>
      <c r="K112" s="102">
        <v>0.8679</v>
      </c>
      <c r="L112" s="102">
        <v>0.8641</v>
      </c>
      <c r="M112" s="102">
        <v>0.8857</v>
      </c>
      <c r="N112" s="102">
        <v>0.8805</v>
      </c>
      <c r="O112" s="102">
        <v>0.8754</v>
      </c>
      <c r="P112" s="102">
        <v>0.8738</v>
      </c>
      <c r="Q112" s="102">
        <v>0.8722</v>
      </c>
      <c r="R112" s="102">
        <v>0.8948</v>
      </c>
      <c r="S112" s="102">
        <v>0.8914</v>
      </c>
      <c r="T112" s="102">
        <v>0.8872</v>
      </c>
      <c r="U112" s="102">
        <v>0.8874</v>
      </c>
      <c r="V112" s="102">
        <v>0.8875</v>
      </c>
    </row>
    <row r="113" s="62" customFormat="1" ht="15" spans="1:22">
      <c r="A113" s="98"/>
      <c r="B113" s="99">
        <v>17</v>
      </c>
      <c r="C113" s="102">
        <v>0.8854</v>
      </c>
      <c r="D113" s="102">
        <v>0.8816</v>
      </c>
      <c r="E113" s="102">
        <v>0.8811</v>
      </c>
      <c r="F113" s="102">
        <v>0.8838</v>
      </c>
      <c r="G113" s="102">
        <v>0.8782</v>
      </c>
      <c r="H113" s="102">
        <v>0.8832</v>
      </c>
      <c r="I113" s="102">
        <v>0.8811</v>
      </c>
      <c r="J113" s="102">
        <v>0.8722</v>
      </c>
      <c r="K113" s="102">
        <v>0.8704</v>
      </c>
      <c r="L113" s="102">
        <v>0.8652</v>
      </c>
      <c r="M113" s="102">
        <v>0.8861</v>
      </c>
      <c r="N113" s="102">
        <v>0.8828</v>
      </c>
      <c r="O113" s="102">
        <v>0.8786</v>
      </c>
      <c r="P113" s="102">
        <v>0.8766</v>
      </c>
      <c r="Q113" s="102">
        <v>0.8768</v>
      </c>
      <c r="R113" s="102">
        <v>0.903</v>
      </c>
      <c r="S113" s="102">
        <v>0.8967</v>
      </c>
      <c r="T113" s="102">
        <v>0.8939</v>
      </c>
      <c r="U113" s="102">
        <v>0.8946</v>
      </c>
      <c r="V113" s="102">
        <v>0.8943</v>
      </c>
    </row>
    <row r="114" s="62" customFormat="1" ht="15" spans="1:22">
      <c r="A114" s="98"/>
      <c r="B114" s="99">
        <v>18</v>
      </c>
      <c r="C114" s="102">
        <v>0.8914</v>
      </c>
      <c r="D114" s="102">
        <v>0.8909</v>
      </c>
      <c r="E114" s="102">
        <v>0.889</v>
      </c>
      <c r="F114" s="102">
        <v>0.8832</v>
      </c>
      <c r="G114" s="102">
        <v>0.8755</v>
      </c>
      <c r="H114" s="102">
        <v>0.8821</v>
      </c>
      <c r="I114" s="102">
        <v>0.8774</v>
      </c>
      <c r="J114" s="102">
        <v>0.8707</v>
      </c>
      <c r="K114" s="102">
        <v>0.8702</v>
      </c>
      <c r="L114" s="102">
        <v>0.8661</v>
      </c>
      <c r="M114" s="102">
        <v>0.8895</v>
      </c>
      <c r="N114" s="102">
        <v>0.8856</v>
      </c>
      <c r="O114" s="102">
        <v>0.8813</v>
      </c>
      <c r="P114" s="102">
        <v>0.8813</v>
      </c>
      <c r="Q114" s="102">
        <v>0.8811</v>
      </c>
      <c r="R114" s="102">
        <v>0.9072</v>
      </c>
      <c r="S114" s="102">
        <v>0.902</v>
      </c>
      <c r="T114" s="102">
        <v>0.9004</v>
      </c>
      <c r="U114" s="102">
        <v>0.8989</v>
      </c>
      <c r="V114" s="102">
        <v>0.8986</v>
      </c>
    </row>
    <row r="115" s="62" customFormat="1" ht="15" spans="1:22">
      <c r="A115" s="98"/>
      <c r="B115" s="99">
        <v>19</v>
      </c>
      <c r="C115" s="102">
        <v>0.8965</v>
      </c>
      <c r="D115" s="102">
        <v>0.8921</v>
      </c>
      <c r="E115" s="102">
        <v>0.8856</v>
      </c>
      <c r="F115" s="102">
        <v>0.8798</v>
      </c>
      <c r="G115" s="102">
        <v>0.873</v>
      </c>
      <c r="H115" s="102">
        <v>0.8821</v>
      </c>
      <c r="I115" s="102">
        <v>0.8765</v>
      </c>
      <c r="J115" s="102">
        <v>0.8727</v>
      </c>
      <c r="K115" s="102">
        <v>0.8699</v>
      </c>
      <c r="L115" s="102">
        <v>0.8697</v>
      </c>
      <c r="M115" s="102">
        <v>0.8958</v>
      </c>
      <c r="N115" s="102">
        <v>0.8904</v>
      </c>
      <c r="O115" s="102">
        <v>0.8856</v>
      </c>
      <c r="P115" s="102">
        <v>0.8862</v>
      </c>
      <c r="Q115" s="102">
        <v>0.889</v>
      </c>
      <c r="R115" s="102">
        <v>0.9133</v>
      </c>
      <c r="S115" s="102">
        <v>0.9093</v>
      </c>
      <c r="T115" s="102">
        <v>0.9058</v>
      </c>
      <c r="U115" s="102">
        <v>0.9029</v>
      </c>
      <c r="V115" s="102">
        <v>0.8951</v>
      </c>
    </row>
    <row r="116" s="62" customFormat="1" ht="15" spans="1:22">
      <c r="A116" s="98"/>
      <c r="B116" s="99">
        <v>20</v>
      </c>
      <c r="C116" s="102">
        <v>0.8955</v>
      </c>
      <c r="D116" s="102">
        <v>0.8888</v>
      </c>
      <c r="E116" s="102">
        <v>0.8809</v>
      </c>
      <c r="F116" s="102">
        <v>0.8754</v>
      </c>
      <c r="G116" s="102">
        <v>0.8701</v>
      </c>
      <c r="H116" s="102">
        <v>0.8834</v>
      </c>
      <c r="I116" s="102">
        <v>0.8778</v>
      </c>
      <c r="J116" s="102">
        <v>0.8737</v>
      </c>
      <c r="K116" s="102">
        <v>0.8714</v>
      </c>
      <c r="L116" s="102">
        <v>0.8726</v>
      </c>
      <c r="M116" s="102">
        <v>0.9006</v>
      </c>
      <c r="N116" s="102">
        <v>0.8941</v>
      </c>
      <c r="O116" s="102">
        <v>0.8911</v>
      </c>
      <c r="P116" s="102">
        <v>0.8931</v>
      </c>
      <c r="Q116" s="102">
        <v>0.892</v>
      </c>
      <c r="R116" s="102">
        <v>0.9194</v>
      </c>
      <c r="S116" s="102">
        <v>0.9138</v>
      </c>
      <c r="T116" s="102">
        <v>0.909</v>
      </c>
      <c r="U116" s="102">
        <v>0.9006</v>
      </c>
      <c r="V116" s="102">
        <v>0.8907</v>
      </c>
    </row>
    <row r="117" s="62" customFormat="1" ht="15" spans="1:22">
      <c r="A117" s="98"/>
      <c r="B117" s="99">
        <v>21</v>
      </c>
      <c r="C117" s="102">
        <v>0.8908</v>
      </c>
      <c r="D117" s="102">
        <v>0.8858</v>
      </c>
      <c r="E117" s="102">
        <v>0.8819</v>
      </c>
      <c r="F117" s="102">
        <v>0.8759</v>
      </c>
      <c r="G117" s="102">
        <v>0.8693</v>
      </c>
      <c r="H117" s="102">
        <v>0.8836</v>
      </c>
      <c r="I117" s="102">
        <v>0.8829</v>
      </c>
      <c r="J117" s="102">
        <v>0.8747</v>
      </c>
      <c r="K117" s="102">
        <v>0.877</v>
      </c>
      <c r="L117" s="102">
        <v>0.8746</v>
      </c>
      <c r="M117" s="102">
        <v>0.9041</v>
      </c>
      <c r="N117" s="102">
        <v>0.901</v>
      </c>
      <c r="O117" s="102">
        <v>0.8962</v>
      </c>
      <c r="P117" s="102">
        <v>0.8974</v>
      </c>
      <c r="Q117" s="102">
        <v>0.897</v>
      </c>
      <c r="R117" s="102">
        <v>0.9173</v>
      </c>
      <c r="S117" s="102">
        <v>0.9112</v>
      </c>
      <c r="T117" s="102">
        <v>0.9031</v>
      </c>
      <c r="U117" s="102">
        <v>0.8952</v>
      </c>
      <c r="V117" s="102">
        <v>0.8897</v>
      </c>
    </row>
    <row r="118" s="62" customFormat="1" ht="15" spans="1:22">
      <c r="A118" s="98"/>
      <c r="B118" s="99">
        <v>22</v>
      </c>
      <c r="C118" s="102">
        <v>0.8886</v>
      </c>
      <c r="D118" s="102">
        <v>0.8872</v>
      </c>
      <c r="E118" s="102">
        <v>0.878</v>
      </c>
      <c r="F118" s="102">
        <v>0.8744</v>
      </c>
      <c r="G118" s="102">
        <v>0.8703</v>
      </c>
      <c r="H118" s="102">
        <v>0.8882</v>
      </c>
      <c r="I118" s="102">
        <v>0.8837</v>
      </c>
      <c r="J118" s="102">
        <v>0.8802</v>
      </c>
      <c r="K118" s="102">
        <v>0.879</v>
      </c>
      <c r="L118" s="102">
        <v>0.8791</v>
      </c>
      <c r="M118" s="102">
        <v>0.9084</v>
      </c>
      <c r="N118" s="102">
        <v>0.9054</v>
      </c>
      <c r="O118" s="102">
        <v>0.9029</v>
      </c>
      <c r="P118" s="102">
        <v>0.9009</v>
      </c>
      <c r="Q118" s="102">
        <v>0.8981</v>
      </c>
      <c r="R118" s="102">
        <v>0.9136</v>
      </c>
      <c r="S118" s="102">
        <v>0.9095</v>
      </c>
      <c r="T118" s="102">
        <v>0.8977</v>
      </c>
      <c r="U118" s="102">
        <v>0.8945</v>
      </c>
      <c r="V118" s="102">
        <v>0.8874</v>
      </c>
    </row>
    <row r="119" s="62" customFormat="1" ht="15" spans="1:22">
      <c r="A119" s="98"/>
      <c r="B119" s="99">
        <v>23</v>
      </c>
      <c r="C119" s="102">
        <v>0.8866</v>
      </c>
      <c r="D119" s="102">
        <v>0.8836</v>
      </c>
      <c r="E119" s="102">
        <v>0.8756</v>
      </c>
      <c r="F119" s="102">
        <v>0.8732</v>
      </c>
      <c r="G119" s="102">
        <v>0.8691</v>
      </c>
      <c r="H119" s="102">
        <v>0.8916</v>
      </c>
      <c r="I119" s="102">
        <v>0.8859</v>
      </c>
      <c r="J119" s="102">
        <v>0.8835</v>
      </c>
      <c r="K119" s="102">
        <v>0.8821</v>
      </c>
      <c r="L119" s="102">
        <v>0.8829</v>
      </c>
      <c r="M119" s="102">
        <v>0.9147</v>
      </c>
      <c r="N119" s="102">
        <v>0.9091</v>
      </c>
      <c r="O119" s="102">
        <v>0.9074</v>
      </c>
      <c r="P119" s="102">
        <v>0.9032</v>
      </c>
      <c r="Q119" s="102">
        <v>0.8932</v>
      </c>
      <c r="R119" s="102">
        <v>0.9128</v>
      </c>
      <c r="S119" s="102">
        <v>0.9063</v>
      </c>
      <c r="T119" s="102">
        <v>0.8988</v>
      </c>
      <c r="U119" s="102">
        <v>0.8916</v>
      </c>
      <c r="V119" s="102">
        <v>0.8878</v>
      </c>
    </row>
    <row r="120" s="62" customFormat="1" ht="15" spans="1:22">
      <c r="A120" s="98"/>
      <c r="B120" s="99">
        <v>24</v>
      </c>
      <c r="C120" s="102">
        <v>0.885</v>
      </c>
      <c r="D120" s="102">
        <v>0.8815</v>
      </c>
      <c r="E120" s="102">
        <v>0.876</v>
      </c>
      <c r="F120" s="102">
        <v>0.8747</v>
      </c>
      <c r="G120" s="102">
        <v>0.8704</v>
      </c>
      <c r="H120" s="102">
        <v>0.8947</v>
      </c>
      <c r="I120" s="102">
        <v>0.8885</v>
      </c>
      <c r="J120" s="102">
        <v>0.8867</v>
      </c>
      <c r="K120" s="102">
        <v>0.8873</v>
      </c>
      <c r="L120" s="102">
        <v>0.887</v>
      </c>
      <c r="M120" s="102">
        <v>0.9176</v>
      </c>
      <c r="N120" s="102">
        <v>0.9149</v>
      </c>
      <c r="O120" s="102">
        <v>0.907</v>
      </c>
      <c r="P120" s="102">
        <v>0.8979</v>
      </c>
      <c r="Q120" s="102">
        <v>0.8921</v>
      </c>
      <c r="R120" s="102">
        <v>0.9105</v>
      </c>
      <c r="S120" s="102">
        <v>0.9045</v>
      </c>
      <c r="T120" s="102">
        <v>0.8961</v>
      </c>
      <c r="U120" s="102">
        <v>0.893</v>
      </c>
      <c r="V120" s="102">
        <v>0.8886</v>
      </c>
    </row>
    <row r="121" s="62" customFormat="1" ht="15" spans="1:22">
      <c r="A121" s="98"/>
      <c r="B121" s="99">
        <v>25</v>
      </c>
      <c r="C121" s="102">
        <v>0.8869</v>
      </c>
      <c r="D121" s="102">
        <v>0.8809</v>
      </c>
      <c r="E121" s="102">
        <v>0.8751</v>
      </c>
      <c r="F121" s="102">
        <v>0.8737</v>
      </c>
      <c r="G121" s="102">
        <v>0.8711</v>
      </c>
      <c r="H121" s="102">
        <v>0.8973</v>
      </c>
      <c r="I121" s="102">
        <v>0.8927</v>
      </c>
      <c r="J121" s="102">
        <v>0.8897</v>
      </c>
      <c r="K121" s="102">
        <v>0.8911</v>
      </c>
      <c r="L121" s="102">
        <v>0.8908</v>
      </c>
      <c r="M121" s="102">
        <v>0.9162</v>
      </c>
      <c r="N121" s="102">
        <v>0.912</v>
      </c>
      <c r="O121" s="102">
        <v>0.9025</v>
      </c>
      <c r="P121" s="102">
        <v>0.896</v>
      </c>
      <c r="Q121" s="102">
        <v>0.8883</v>
      </c>
      <c r="R121" s="102">
        <v>0.9088</v>
      </c>
      <c r="S121" s="102">
        <v>0.9022</v>
      </c>
      <c r="T121" s="102">
        <v>0.8963</v>
      </c>
      <c r="U121" s="102">
        <v>0.8916</v>
      </c>
      <c r="V121" s="102">
        <v>0.8888</v>
      </c>
    </row>
    <row r="124" ht="15" spans="1:22">
      <c r="A124" s="98">
        <v>0.4</v>
      </c>
      <c r="B124" s="99">
        <v>6</v>
      </c>
      <c r="C124" s="102">
        <v>0.7468</v>
      </c>
      <c r="D124" s="102">
        <v>0.7532</v>
      </c>
      <c r="E124" s="102">
        <v>0.7476</v>
      </c>
      <c r="F124" s="102">
        <v>0.7503</v>
      </c>
      <c r="G124" s="102">
        <v>0.7479</v>
      </c>
      <c r="H124" s="102">
        <v>0.7602</v>
      </c>
      <c r="I124" s="102">
        <v>0.7638</v>
      </c>
      <c r="J124" s="102">
        <v>0.7592</v>
      </c>
      <c r="K124" s="102">
        <v>0.7634</v>
      </c>
      <c r="L124" s="102">
        <v>0.7628</v>
      </c>
      <c r="M124" s="102">
        <v>0.7802</v>
      </c>
      <c r="N124" s="102">
        <v>0.7803</v>
      </c>
      <c r="O124" s="102">
        <v>0.7768</v>
      </c>
      <c r="P124" s="102">
        <v>0.7804</v>
      </c>
      <c r="Q124" s="102">
        <v>0.7866</v>
      </c>
      <c r="R124" s="102">
        <v>0.8021</v>
      </c>
      <c r="S124" s="102">
        <v>0.8006</v>
      </c>
      <c r="T124" s="102">
        <v>0.7985</v>
      </c>
      <c r="U124" s="102">
        <v>0.8063</v>
      </c>
      <c r="V124" s="102">
        <v>0.8093</v>
      </c>
    </row>
    <row r="125" ht="15" spans="1:22">
      <c r="A125" s="98"/>
      <c r="B125" s="99">
        <v>7</v>
      </c>
      <c r="C125" s="102">
        <v>0.756</v>
      </c>
      <c r="D125" s="102">
        <v>0.7597</v>
      </c>
      <c r="E125" s="102">
        <v>0.7534</v>
      </c>
      <c r="F125" s="102">
        <v>0.7558</v>
      </c>
      <c r="G125" s="102">
        <v>0.7547</v>
      </c>
      <c r="H125" s="102">
        <v>0.7738</v>
      </c>
      <c r="I125" s="102">
        <v>0.7753</v>
      </c>
      <c r="J125" s="102">
        <v>0.7705</v>
      </c>
      <c r="K125" s="102">
        <v>0.7747</v>
      </c>
      <c r="L125" s="102">
        <v>0.776</v>
      </c>
      <c r="M125" s="102">
        <v>0.7984</v>
      </c>
      <c r="N125" s="102">
        <v>0.7971</v>
      </c>
      <c r="O125" s="102">
        <v>0.7943</v>
      </c>
      <c r="P125" s="102">
        <v>0.8023</v>
      </c>
      <c r="Q125" s="102">
        <v>0.806</v>
      </c>
      <c r="R125" s="102">
        <v>0.8253</v>
      </c>
      <c r="S125" s="102">
        <v>0.8265</v>
      </c>
      <c r="T125" s="102">
        <v>0.8244</v>
      </c>
      <c r="U125" s="102">
        <v>0.8283</v>
      </c>
      <c r="V125" s="102">
        <v>0.8313</v>
      </c>
    </row>
    <row r="126" ht="15" spans="1:22">
      <c r="A126" s="98"/>
      <c r="B126" s="99">
        <v>8</v>
      </c>
      <c r="C126" s="102">
        <v>0.7629</v>
      </c>
      <c r="D126" s="102">
        <v>0.7649</v>
      </c>
      <c r="E126" s="102">
        <v>0.7608</v>
      </c>
      <c r="F126" s="102">
        <v>0.7624</v>
      </c>
      <c r="G126" s="102">
        <v>0.7629</v>
      </c>
      <c r="H126" s="102">
        <v>0.7872</v>
      </c>
      <c r="I126" s="102">
        <v>0.7866</v>
      </c>
      <c r="J126" s="102">
        <v>0.783</v>
      </c>
      <c r="K126" s="102">
        <v>0.7874</v>
      </c>
      <c r="L126" s="102">
        <v>0.796</v>
      </c>
      <c r="M126" s="102">
        <v>0.8169</v>
      </c>
      <c r="N126" s="102">
        <v>0.8143</v>
      </c>
      <c r="O126" s="102">
        <v>0.816</v>
      </c>
      <c r="P126" s="102">
        <v>0.82</v>
      </c>
      <c r="Q126" s="102">
        <v>0.8263</v>
      </c>
      <c r="R126" s="102">
        <v>0.8473</v>
      </c>
      <c r="S126" s="102">
        <v>0.8481</v>
      </c>
      <c r="T126" s="102">
        <v>0.8452</v>
      </c>
      <c r="U126" s="102">
        <v>0.849</v>
      </c>
      <c r="V126" s="102">
        <v>0.8534</v>
      </c>
    </row>
    <row r="127" ht="15" spans="1:22">
      <c r="A127" s="98"/>
      <c r="B127" s="99">
        <v>9</v>
      </c>
      <c r="C127" s="102">
        <v>0.7709</v>
      </c>
      <c r="D127" s="102">
        <v>0.7715</v>
      </c>
      <c r="E127" s="102">
        <v>0.7678</v>
      </c>
      <c r="F127" s="102">
        <v>0.7719</v>
      </c>
      <c r="G127" s="102">
        <v>0.7736</v>
      </c>
      <c r="H127" s="102">
        <v>0.8009</v>
      </c>
      <c r="I127" s="102">
        <v>0.7994</v>
      </c>
      <c r="J127" s="102">
        <v>0.7981</v>
      </c>
      <c r="K127" s="102">
        <v>0.8063</v>
      </c>
      <c r="L127" s="102">
        <v>0.8085</v>
      </c>
      <c r="M127" s="102">
        <v>0.8374</v>
      </c>
      <c r="N127" s="102">
        <v>0.8395</v>
      </c>
      <c r="O127" s="102">
        <v>0.8371</v>
      </c>
      <c r="P127" s="102">
        <v>0.8397</v>
      </c>
      <c r="Q127" s="102">
        <v>0.8414</v>
      </c>
      <c r="R127" s="102">
        <v>0.8727</v>
      </c>
      <c r="S127" s="102">
        <v>0.8696</v>
      </c>
      <c r="T127" s="102">
        <v>0.868</v>
      </c>
      <c r="U127" s="102">
        <v>0.8688</v>
      </c>
      <c r="V127" s="102">
        <v>0.8702</v>
      </c>
    </row>
    <row r="128" ht="15" spans="1:22">
      <c r="A128" s="98"/>
      <c r="B128" s="99">
        <v>10</v>
      </c>
      <c r="C128" s="102">
        <v>0.7819</v>
      </c>
      <c r="D128" s="102">
        <v>0.78</v>
      </c>
      <c r="E128" s="102">
        <v>0.7771</v>
      </c>
      <c r="F128" s="102">
        <v>0.7812</v>
      </c>
      <c r="G128" s="102">
        <v>0.7874</v>
      </c>
      <c r="H128" s="102">
        <v>0.8171</v>
      </c>
      <c r="I128" s="102">
        <v>0.8132</v>
      </c>
      <c r="J128" s="102">
        <v>0.8156</v>
      </c>
      <c r="K128" s="102">
        <v>0.8207</v>
      </c>
      <c r="L128" s="102">
        <v>0.8269</v>
      </c>
      <c r="M128" s="102">
        <v>0.8577</v>
      </c>
      <c r="N128" s="102">
        <v>0.8568</v>
      </c>
      <c r="O128" s="102">
        <v>0.8551</v>
      </c>
      <c r="P128" s="102">
        <v>0.8546</v>
      </c>
      <c r="Q128" s="102">
        <v>0.8595</v>
      </c>
      <c r="R128" s="102">
        <v>0.8851</v>
      </c>
      <c r="S128" s="102">
        <v>0.8829</v>
      </c>
      <c r="T128" s="102">
        <v>0.8805</v>
      </c>
      <c r="U128" s="102">
        <v>0.876</v>
      </c>
      <c r="V128" s="102">
        <v>0.8707</v>
      </c>
    </row>
    <row r="129" ht="15" spans="1:22">
      <c r="A129" s="98"/>
      <c r="B129" s="99">
        <v>11</v>
      </c>
      <c r="C129" s="102">
        <v>0.7916</v>
      </c>
      <c r="D129" s="102">
        <v>0.7909</v>
      </c>
      <c r="E129" s="102">
        <v>0.7866</v>
      </c>
      <c r="F129" s="102">
        <v>0.7946</v>
      </c>
      <c r="G129" s="102">
        <v>0.7987</v>
      </c>
      <c r="H129" s="102">
        <v>0.8317</v>
      </c>
      <c r="I129" s="102">
        <v>0.834</v>
      </c>
      <c r="J129" s="102">
        <v>0.8306</v>
      </c>
      <c r="K129" s="102">
        <v>0.8361</v>
      </c>
      <c r="L129" s="102">
        <v>0.8396</v>
      </c>
      <c r="M129" s="102">
        <v>0.874</v>
      </c>
      <c r="N129" s="102">
        <v>0.8718</v>
      </c>
      <c r="O129" s="102">
        <v>0.8689</v>
      </c>
      <c r="P129" s="102">
        <v>0.8718</v>
      </c>
      <c r="Q129" s="102">
        <v>0.8712</v>
      </c>
      <c r="R129" s="102">
        <v>0.8845</v>
      </c>
      <c r="S129" s="102">
        <v>0.8807</v>
      </c>
      <c r="T129" s="102">
        <v>0.8748</v>
      </c>
      <c r="U129" s="102">
        <v>0.8705</v>
      </c>
      <c r="V129" s="102">
        <v>0.8643</v>
      </c>
    </row>
    <row r="130" ht="15" spans="1:22">
      <c r="A130" s="98"/>
      <c r="B130" s="99">
        <v>12</v>
      </c>
      <c r="C130" s="102">
        <v>0.8016</v>
      </c>
      <c r="D130" s="102">
        <v>0.8003</v>
      </c>
      <c r="E130" s="102">
        <v>0.7969</v>
      </c>
      <c r="F130" s="102">
        <v>0.805</v>
      </c>
      <c r="G130" s="102">
        <v>0.8104</v>
      </c>
      <c r="H130" s="102">
        <v>0.8502</v>
      </c>
      <c r="I130" s="102">
        <v>0.8477</v>
      </c>
      <c r="J130" s="102">
        <v>0.8451</v>
      </c>
      <c r="K130" s="102">
        <v>0.8509</v>
      </c>
      <c r="L130" s="102">
        <v>0.8518</v>
      </c>
      <c r="M130" s="102">
        <v>0.8846</v>
      </c>
      <c r="N130" s="102">
        <v>0.8834</v>
      </c>
      <c r="O130" s="102">
        <v>0.8795</v>
      </c>
      <c r="P130" s="102">
        <v>0.875</v>
      </c>
      <c r="Q130" s="102">
        <v>0.8692</v>
      </c>
      <c r="R130" s="102">
        <v>0.8821</v>
      </c>
      <c r="S130" s="102">
        <v>0.8792</v>
      </c>
      <c r="T130" s="102">
        <v>0.8741</v>
      </c>
      <c r="U130" s="102">
        <v>0.8681</v>
      </c>
      <c r="V130" s="102">
        <v>0.8637</v>
      </c>
    </row>
    <row r="131" ht="15" spans="1:22">
      <c r="A131" s="98"/>
      <c r="B131" s="99">
        <v>13</v>
      </c>
      <c r="C131" s="102">
        <v>0.8121</v>
      </c>
      <c r="D131" s="102">
        <v>0.8097</v>
      </c>
      <c r="E131" s="102">
        <v>0.8139</v>
      </c>
      <c r="F131" s="102">
        <v>0.8177</v>
      </c>
      <c r="G131" s="102">
        <v>0.8209</v>
      </c>
      <c r="H131" s="102">
        <v>0.8671</v>
      </c>
      <c r="I131" s="102">
        <v>0.8613</v>
      </c>
      <c r="J131" s="102">
        <v>0.8612</v>
      </c>
      <c r="K131" s="102">
        <v>0.8614</v>
      </c>
      <c r="L131" s="102">
        <v>0.8642</v>
      </c>
      <c r="M131" s="102">
        <v>0.8847</v>
      </c>
      <c r="N131" s="102">
        <v>0.8835</v>
      </c>
      <c r="O131" s="102">
        <v>0.8765</v>
      </c>
      <c r="P131" s="102">
        <v>0.8717</v>
      </c>
      <c r="Q131" s="102">
        <v>0.8616</v>
      </c>
      <c r="R131" s="102">
        <v>0.8778</v>
      </c>
      <c r="S131" s="102">
        <v>0.8752</v>
      </c>
      <c r="T131" s="102">
        <v>0.8692</v>
      </c>
      <c r="U131" s="102">
        <v>0.866</v>
      </c>
      <c r="V131" s="102">
        <v>0.8625</v>
      </c>
    </row>
    <row r="132" ht="15" spans="1:22">
      <c r="A132" s="98"/>
      <c r="B132" s="99">
        <v>14</v>
      </c>
      <c r="C132" s="102">
        <v>0.8286</v>
      </c>
      <c r="D132" s="102">
        <v>0.828</v>
      </c>
      <c r="E132" s="102">
        <v>0.8277</v>
      </c>
      <c r="F132" s="102">
        <v>0.8324</v>
      </c>
      <c r="G132" s="102">
        <v>0.8361</v>
      </c>
      <c r="H132" s="102">
        <v>0.8799</v>
      </c>
      <c r="I132" s="102">
        <v>0.8752</v>
      </c>
      <c r="J132" s="102">
        <v>0.8738</v>
      </c>
      <c r="K132" s="102">
        <v>0.8758</v>
      </c>
      <c r="L132" s="102">
        <v>0.8741</v>
      </c>
      <c r="M132" s="102">
        <v>0.8854</v>
      </c>
      <c r="N132" s="102">
        <v>0.883</v>
      </c>
      <c r="O132" s="102">
        <v>0.8753</v>
      </c>
      <c r="P132" s="102">
        <v>0.8699</v>
      </c>
      <c r="Q132" s="102">
        <v>0.866</v>
      </c>
      <c r="R132" s="102">
        <v>0.8817</v>
      </c>
      <c r="S132" s="102">
        <v>0.8789</v>
      </c>
      <c r="T132" s="102">
        <v>0.8711</v>
      </c>
      <c r="U132" s="102">
        <v>0.8692</v>
      </c>
      <c r="V132" s="102">
        <v>0.8689</v>
      </c>
    </row>
    <row r="133" ht="15" spans="1:22">
      <c r="A133" s="98"/>
      <c r="B133" s="99">
        <v>15</v>
      </c>
      <c r="C133" s="102">
        <v>0.8394</v>
      </c>
      <c r="D133" s="102">
        <v>0.8415</v>
      </c>
      <c r="E133" s="102">
        <v>0.8384</v>
      </c>
      <c r="F133" s="102">
        <v>0.8406</v>
      </c>
      <c r="G133" s="102">
        <v>0.8467</v>
      </c>
      <c r="H133" s="102">
        <v>0.8879</v>
      </c>
      <c r="I133" s="102">
        <v>0.8874</v>
      </c>
      <c r="J133" s="102">
        <v>0.8823</v>
      </c>
      <c r="K133" s="102">
        <v>0.8782</v>
      </c>
      <c r="L133" s="102">
        <v>0.8729</v>
      </c>
      <c r="M133" s="102">
        <v>0.8832</v>
      </c>
      <c r="N133" s="102">
        <v>0.879</v>
      </c>
      <c r="O133" s="102">
        <v>0.8714</v>
      </c>
      <c r="P133" s="102">
        <v>0.8678</v>
      </c>
      <c r="Q133" s="102">
        <v>0.8653</v>
      </c>
      <c r="R133" s="102">
        <v>0.8852</v>
      </c>
      <c r="S133" s="102">
        <v>0.8797</v>
      </c>
      <c r="T133" s="102">
        <v>0.8756</v>
      </c>
      <c r="U133" s="102">
        <v>0.8736</v>
      </c>
      <c r="V133" s="102">
        <v>0.8718</v>
      </c>
    </row>
    <row r="134" ht="15" spans="1:22">
      <c r="A134" s="98"/>
      <c r="B134" s="99">
        <v>16</v>
      </c>
      <c r="C134" s="102">
        <v>0.854</v>
      </c>
      <c r="D134" s="102">
        <v>0.8515</v>
      </c>
      <c r="E134" s="102">
        <v>0.8484</v>
      </c>
      <c r="F134" s="102">
        <v>0.8527</v>
      </c>
      <c r="G134" s="102">
        <v>0.8565</v>
      </c>
      <c r="H134" s="102">
        <v>0.8882</v>
      </c>
      <c r="I134" s="102">
        <v>0.8865</v>
      </c>
      <c r="J134" s="102">
        <v>0.8794</v>
      </c>
      <c r="K134" s="102">
        <v>0.8758</v>
      </c>
      <c r="L134" s="102">
        <v>0.8679</v>
      </c>
      <c r="M134" s="102">
        <v>0.8828</v>
      </c>
      <c r="N134" s="102">
        <v>0.8801</v>
      </c>
      <c r="O134" s="102">
        <v>0.874</v>
      </c>
      <c r="P134" s="102">
        <v>0.8703</v>
      </c>
      <c r="Q134" s="102">
        <v>0.8664</v>
      </c>
      <c r="R134" s="102">
        <v>0.8855</v>
      </c>
      <c r="S134" s="102">
        <v>0.8815</v>
      </c>
      <c r="T134" s="102">
        <v>0.8772</v>
      </c>
      <c r="U134" s="102">
        <v>0.8761</v>
      </c>
      <c r="V134" s="102">
        <v>0.8765</v>
      </c>
    </row>
    <row r="135" ht="15" spans="1:22">
      <c r="A135" s="98"/>
      <c r="B135" s="99">
        <v>17</v>
      </c>
      <c r="C135" s="102">
        <v>0.8639</v>
      </c>
      <c r="D135" s="102">
        <v>0.861</v>
      </c>
      <c r="E135" s="102">
        <v>0.8605</v>
      </c>
      <c r="F135" s="102">
        <v>0.8622</v>
      </c>
      <c r="G135" s="102">
        <v>0.8655</v>
      </c>
      <c r="H135" s="102">
        <v>0.8858</v>
      </c>
      <c r="I135" s="102">
        <v>0.8827</v>
      </c>
      <c r="J135" s="102">
        <v>0.8777</v>
      </c>
      <c r="K135" s="102">
        <v>0.8703</v>
      </c>
      <c r="L135" s="102">
        <v>0.8675</v>
      </c>
      <c r="M135" s="102">
        <v>0.8813</v>
      </c>
      <c r="N135" s="102">
        <v>0.877</v>
      </c>
      <c r="O135" s="102">
        <v>0.8726</v>
      </c>
      <c r="P135" s="102">
        <v>0.8697</v>
      </c>
      <c r="Q135" s="102">
        <v>0.8677</v>
      </c>
      <c r="R135" s="102">
        <v>0.8888</v>
      </c>
      <c r="S135" s="102">
        <v>0.8868</v>
      </c>
      <c r="T135" s="102">
        <v>0.8805</v>
      </c>
      <c r="U135" s="102">
        <v>0.8822</v>
      </c>
      <c r="V135" s="102">
        <v>0.881</v>
      </c>
    </row>
    <row r="136" ht="15" spans="1:22">
      <c r="A136" s="98"/>
      <c r="B136" s="99">
        <v>18</v>
      </c>
      <c r="C136" s="102">
        <v>0.8731</v>
      </c>
      <c r="D136" s="102">
        <v>0.8693</v>
      </c>
      <c r="E136" s="102">
        <v>0.8698</v>
      </c>
      <c r="F136" s="102">
        <v>0.871</v>
      </c>
      <c r="G136" s="102">
        <v>0.8722</v>
      </c>
      <c r="H136" s="102">
        <v>0.885</v>
      </c>
      <c r="I136" s="102">
        <v>0.8822</v>
      </c>
      <c r="J136" s="102">
        <v>0.8743</v>
      </c>
      <c r="K136" s="102">
        <v>0.8708</v>
      </c>
      <c r="L136" s="102">
        <v>0.8656</v>
      </c>
      <c r="M136" s="102">
        <v>0.8849</v>
      </c>
      <c r="N136" s="102">
        <v>0.8794</v>
      </c>
      <c r="O136" s="102">
        <v>0.8738</v>
      </c>
      <c r="P136" s="102">
        <v>0.8715</v>
      </c>
      <c r="Q136" s="102">
        <v>0.8725</v>
      </c>
      <c r="R136" s="102">
        <v>0.8948</v>
      </c>
      <c r="S136" s="102">
        <v>0.8896</v>
      </c>
      <c r="T136" s="102">
        <v>0.8878</v>
      </c>
      <c r="U136" s="102">
        <v>0.8874</v>
      </c>
      <c r="V136" s="102">
        <v>0.8887</v>
      </c>
    </row>
    <row r="137" ht="15" spans="1:22">
      <c r="A137" s="98"/>
      <c r="B137" s="99">
        <v>19</v>
      </c>
      <c r="C137" s="102">
        <v>0.883</v>
      </c>
      <c r="D137" s="102">
        <v>0.8788</v>
      </c>
      <c r="E137" s="102">
        <v>0.8772</v>
      </c>
      <c r="F137" s="102">
        <v>0.8777</v>
      </c>
      <c r="G137" s="102">
        <v>0.8747</v>
      </c>
      <c r="H137" s="102">
        <v>0.8844</v>
      </c>
      <c r="I137" s="102">
        <v>0.8796</v>
      </c>
      <c r="J137" s="102">
        <v>0.8714</v>
      </c>
      <c r="K137" s="102">
        <v>0.8687</v>
      </c>
      <c r="L137" s="102">
        <v>0.8637</v>
      </c>
      <c r="M137" s="102">
        <v>0.8849</v>
      </c>
      <c r="N137" s="102">
        <v>0.8817</v>
      </c>
      <c r="O137" s="102">
        <v>0.8771</v>
      </c>
      <c r="P137" s="102">
        <v>0.8779</v>
      </c>
      <c r="Q137" s="102">
        <v>0.8748</v>
      </c>
      <c r="R137" s="102">
        <v>0.8995</v>
      </c>
      <c r="S137" s="102">
        <v>0.8942</v>
      </c>
      <c r="T137" s="102">
        <v>0.8932</v>
      </c>
      <c r="U137" s="102">
        <v>0.8924</v>
      </c>
      <c r="V137" s="102">
        <v>0.8938</v>
      </c>
    </row>
    <row r="138" ht="15" spans="1:22">
      <c r="A138" s="98"/>
      <c r="B138" s="99">
        <v>20</v>
      </c>
      <c r="C138" s="102">
        <v>0.889</v>
      </c>
      <c r="D138" s="102">
        <v>0.8875</v>
      </c>
      <c r="E138" s="102">
        <v>0.8823</v>
      </c>
      <c r="F138" s="102">
        <v>0.8788</v>
      </c>
      <c r="G138" s="102">
        <v>0.8711</v>
      </c>
      <c r="H138" s="102">
        <v>0.8827</v>
      </c>
      <c r="I138" s="102">
        <v>0.8783</v>
      </c>
      <c r="J138" s="102">
        <v>0.8731</v>
      </c>
      <c r="K138" s="102">
        <v>0.8686</v>
      </c>
      <c r="L138" s="102">
        <v>0.8674</v>
      </c>
      <c r="M138" s="102">
        <v>0.8882</v>
      </c>
      <c r="N138" s="102">
        <v>0.8829</v>
      </c>
      <c r="O138" s="102">
        <v>0.8793</v>
      </c>
      <c r="P138" s="102">
        <v>0.8801</v>
      </c>
      <c r="Q138" s="102">
        <v>0.8809</v>
      </c>
      <c r="R138" s="102">
        <v>0.9063</v>
      </c>
      <c r="S138" s="102">
        <v>0.9024</v>
      </c>
      <c r="T138" s="102">
        <v>0.8975</v>
      </c>
      <c r="U138" s="102">
        <v>0.899</v>
      </c>
      <c r="V138" s="102">
        <v>0.8992</v>
      </c>
    </row>
    <row r="139" ht="15" spans="1:22">
      <c r="A139" s="98"/>
      <c r="B139" s="99">
        <v>21</v>
      </c>
      <c r="C139" s="102">
        <v>0.8915</v>
      </c>
      <c r="D139" s="102">
        <v>0.8879</v>
      </c>
      <c r="E139" s="102">
        <v>0.8829</v>
      </c>
      <c r="F139" s="102">
        <v>0.8749</v>
      </c>
      <c r="G139" s="102">
        <v>0.8672</v>
      </c>
      <c r="H139" s="102">
        <v>0.8825</v>
      </c>
      <c r="I139" s="102">
        <v>0.8765</v>
      </c>
      <c r="J139" s="102">
        <v>0.8725</v>
      </c>
      <c r="K139" s="102">
        <v>0.871</v>
      </c>
      <c r="L139" s="102">
        <v>0.8675</v>
      </c>
      <c r="M139" s="102">
        <v>0.893</v>
      </c>
      <c r="N139" s="102">
        <v>0.8883</v>
      </c>
      <c r="O139" s="102">
        <v>0.883</v>
      </c>
      <c r="P139" s="102">
        <v>0.8841</v>
      </c>
      <c r="Q139" s="102">
        <v>0.885</v>
      </c>
      <c r="R139" s="102">
        <v>0.9106</v>
      </c>
      <c r="S139" s="102">
        <v>0.9068</v>
      </c>
      <c r="T139" s="102">
        <v>0.9052</v>
      </c>
      <c r="U139" s="102">
        <v>0.9029</v>
      </c>
      <c r="V139" s="102">
        <v>0.8959</v>
      </c>
    </row>
    <row r="140" ht="15" spans="1:22">
      <c r="A140" s="98"/>
      <c r="B140" s="99">
        <v>22</v>
      </c>
      <c r="C140" s="102">
        <v>0.8898</v>
      </c>
      <c r="D140" s="102">
        <v>0.8869</v>
      </c>
      <c r="E140" s="102">
        <v>0.8787</v>
      </c>
      <c r="F140" s="102">
        <v>0.8736</v>
      </c>
      <c r="G140" s="102">
        <v>0.8675</v>
      </c>
      <c r="H140" s="102">
        <v>0.8824</v>
      </c>
      <c r="I140" s="102">
        <v>0.8786</v>
      </c>
      <c r="J140" s="102">
        <v>0.8729</v>
      </c>
      <c r="K140" s="102">
        <v>0.8718</v>
      </c>
      <c r="L140" s="102">
        <v>0.8701</v>
      </c>
      <c r="M140" s="102">
        <v>0.8973</v>
      </c>
      <c r="N140" s="102">
        <v>0.8914</v>
      </c>
      <c r="O140" s="102">
        <v>0.8904</v>
      </c>
      <c r="P140" s="102">
        <v>0.8901</v>
      </c>
      <c r="Q140" s="102">
        <v>0.8905</v>
      </c>
      <c r="R140" s="102">
        <v>0.9148</v>
      </c>
      <c r="S140" s="102">
        <v>0.9109</v>
      </c>
      <c r="T140" s="102">
        <v>0.9081</v>
      </c>
      <c r="U140" s="102">
        <v>0.9021</v>
      </c>
      <c r="V140" s="102">
        <v>0.891</v>
      </c>
    </row>
    <row r="141" ht="15" spans="1:22">
      <c r="A141" s="98"/>
      <c r="B141" s="99">
        <v>23</v>
      </c>
      <c r="C141" s="102">
        <v>0.8867</v>
      </c>
      <c r="D141" s="102">
        <v>0.8833</v>
      </c>
      <c r="E141" s="102">
        <v>0.8763</v>
      </c>
      <c r="F141" s="102">
        <v>0.8716</v>
      </c>
      <c r="G141" s="102">
        <v>0.866</v>
      </c>
      <c r="H141" s="102">
        <v>0.8844</v>
      </c>
      <c r="I141" s="102">
        <v>0.8788</v>
      </c>
      <c r="J141" s="102">
        <v>0.8753</v>
      </c>
      <c r="K141" s="102">
        <v>0.8732</v>
      </c>
      <c r="L141" s="102">
        <v>0.8741</v>
      </c>
      <c r="M141" s="102">
        <v>0.9006</v>
      </c>
      <c r="N141" s="102">
        <v>0.8957</v>
      </c>
      <c r="O141" s="102">
        <v>0.8932</v>
      </c>
      <c r="P141" s="102">
        <v>0.8936</v>
      </c>
      <c r="Q141" s="102">
        <v>0.8946</v>
      </c>
      <c r="R141" s="102">
        <v>0.9187</v>
      </c>
      <c r="S141" s="102">
        <v>0.9137</v>
      </c>
      <c r="T141" s="102">
        <v>0.903</v>
      </c>
      <c r="U141" s="102">
        <v>0.8962</v>
      </c>
      <c r="V141" s="102">
        <v>0.8906</v>
      </c>
    </row>
    <row r="142" ht="15" spans="1:22">
      <c r="A142" s="98"/>
      <c r="B142" s="99">
        <v>24</v>
      </c>
      <c r="C142" s="102">
        <v>0.8844</v>
      </c>
      <c r="D142" s="102">
        <v>0.8828</v>
      </c>
      <c r="E142" s="102">
        <v>0.873</v>
      </c>
      <c r="F142" s="102">
        <v>0.8689</v>
      </c>
      <c r="G142" s="102">
        <v>0.8652</v>
      </c>
      <c r="H142" s="102">
        <v>0.8856</v>
      </c>
      <c r="I142" s="102">
        <v>0.8811</v>
      </c>
      <c r="J142" s="102">
        <v>0.8778</v>
      </c>
      <c r="K142" s="102">
        <v>0.877</v>
      </c>
      <c r="L142" s="102">
        <v>0.8764</v>
      </c>
      <c r="M142" s="102">
        <v>0.9056</v>
      </c>
      <c r="N142" s="102">
        <v>0.901</v>
      </c>
      <c r="O142" s="102">
        <v>0.8976</v>
      </c>
      <c r="P142" s="102">
        <v>0.8993</v>
      </c>
      <c r="Q142" s="102">
        <v>0.8967</v>
      </c>
      <c r="R142" s="102">
        <v>0.9156</v>
      </c>
      <c r="S142" s="102">
        <v>0.9095</v>
      </c>
      <c r="T142" s="102">
        <v>0.9019</v>
      </c>
      <c r="U142" s="102">
        <v>0.8955</v>
      </c>
      <c r="V142" s="102">
        <v>0.8894</v>
      </c>
    </row>
    <row r="143" ht="15" spans="1:22">
      <c r="A143" s="98"/>
      <c r="B143" s="99">
        <v>25</v>
      </c>
      <c r="C143" s="102">
        <v>0.8835</v>
      </c>
      <c r="D143" s="102">
        <v>0.8798</v>
      </c>
      <c r="E143" s="102">
        <v>0.8728</v>
      </c>
      <c r="F143" s="102">
        <v>0.8682</v>
      </c>
      <c r="G143" s="102">
        <v>0.8632</v>
      </c>
      <c r="H143" s="102">
        <v>0.8885</v>
      </c>
      <c r="I143" s="102">
        <v>0.8842</v>
      </c>
      <c r="J143" s="102">
        <v>0.88</v>
      </c>
      <c r="K143" s="102">
        <v>0.8793</v>
      </c>
      <c r="L143" s="102">
        <v>0.88</v>
      </c>
      <c r="M143" s="102">
        <v>0.9098</v>
      </c>
      <c r="N143" s="102">
        <v>0.9044</v>
      </c>
      <c r="O143" s="102">
        <v>0.9044</v>
      </c>
      <c r="P143" s="102">
        <v>0.9024</v>
      </c>
      <c r="Q143" s="102">
        <v>0.8949</v>
      </c>
      <c r="R143" s="102">
        <v>0.9117</v>
      </c>
      <c r="S143" s="102">
        <v>0.9065</v>
      </c>
      <c r="T143" s="102">
        <v>0.898</v>
      </c>
      <c r="U143" s="102">
        <v>0.8919</v>
      </c>
      <c r="V143" s="102">
        <v>0.8871</v>
      </c>
    </row>
    <row r="146" ht="15" spans="1:22">
      <c r="A146" s="98">
        <v>0.35</v>
      </c>
      <c r="B146" s="99">
        <v>6</v>
      </c>
      <c r="C146" s="102">
        <v>0.7401</v>
      </c>
      <c r="D146" s="102">
        <v>0.749</v>
      </c>
      <c r="E146" s="102">
        <v>0.7479</v>
      </c>
      <c r="F146" s="102">
        <v>0.7492</v>
      </c>
      <c r="G146" s="102">
        <v>0.7457</v>
      </c>
      <c r="H146" s="102">
        <v>0.756</v>
      </c>
      <c r="I146" s="102">
        <v>0.7597</v>
      </c>
      <c r="J146" s="102">
        <v>0.7555</v>
      </c>
      <c r="K146" s="102">
        <v>0.7591</v>
      </c>
      <c r="L146" s="102">
        <v>0.7565</v>
      </c>
      <c r="M146" s="102">
        <v>0.769</v>
      </c>
      <c r="N146" s="102">
        <v>0.7713</v>
      </c>
      <c r="O146" s="102">
        <v>0.7677</v>
      </c>
      <c r="P146" s="102">
        <v>0.7712</v>
      </c>
      <c r="Q146" s="102">
        <v>0.7721</v>
      </c>
      <c r="R146" s="102">
        <v>0.7869</v>
      </c>
      <c r="S146" s="102">
        <v>0.7868</v>
      </c>
      <c r="T146" s="102">
        <v>0.7832</v>
      </c>
      <c r="U146" s="102">
        <v>0.7882</v>
      </c>
      <c r="V146" s="102">
        <v>0.7948</v>
      </c>
    </row>
    <row r="147" ht="15" spans="1:22">
      <c r="A147" s="98"/>
      <c r="B147" s="99">
        <v>7</v>
      </c>
      <c r="C147" s="102">
        <v>0.7503</v>
      </c>
      <c r="D147" s="102">
        <v>0.7569</v>
      </c>
      <c r="E147" s="102">
        <v>0.7514</v>
      </c>
      <c r="F147" s="102">
        <v>0.7535</v>
      </c>
      <c r="G147" s="102">
        <v>0.7501</v>
      </c>
      <c r="H147" s="102">
        <v>0.7645</v>
      </c>
      <c r="I147" s="102">
        <v>0.7663</v>
      </c>
      <c r="J147" s="102">
        <v>0.7617</v>
      </c>
      <c r="K147" s="102">
        <v>0.7656</v>
      </c>
      <c r="L147" s="102">
        <v>0.7654</v>
      </c>
      <c r="M147" s="102">
        <v>0.783</v>
      </c>
      <c r="N147" s="102">
        <v>0.7829</v>
      </c>
      <c r="O147" s="102">
        <v>0.7803</v>
      </c>
      <c r="P147" s="102">
        <v>0.7836</v>
      </c>
      <c r="Q147" s="102">
        <v>0.7892</v>
      </c>
      <c r="R147" s="102">
        <v>0.8057</v>
      </c>
      <c r="S147" s="102">
        <v>0.8035</v>
      </c>
      <c r="T147" s="102">
        <v>0.8057</v>
      </c>
      <c r="U147" s="102">
        <v>0.8088</v>
      </c>
      <c r="V147" s="102">
        <v>0.8127</v>
      </c>
    </row>
    <row r="148" ht="15" spans="1:22">
      <c r="A148" s="98"/>
      <c r="B148" s="99">
        <v>8</v>
      </c>
      <c r="C148" s="102">
        <v>0.7587</v>
      </c>
      <c r="D148" s="102">
        <v>0.762</v>
      </c>
      <c r="E148" s="102">
        <v>0.7554</v>
      </c>
      <c r="F148" s="102">
        <v>0.7576</v>
      </c>
      <c r="G148" s="102">
        <v>0.7556</v>
      </c>
      <c r="H148" s="102">
        <v>0.7761</v>
      </c>
      <c r="I148" s="102">
        <v>0.775</v>
      </c>
      <c r="J148" s="102">
        <v>0.7713</v>
      </c>
      <c r="K148" s="102">
        <v>0.7753</v>
      </c>
      <c r="L148" s="102">
        <v>0.7784</v>
      </c>
      <c r="M148" s="102">
        <v>0.799</v>
      </c>
      <c r="N148" s="102">
        <v>0.7973</v>
      </c>
      <c r="O148" s="102">
        <v>0.7949</v>
      </c>
      <c r="P148" s="102">
        <v>0.8051</v>
      </c>
      <c r="Q148" s="102">
        <v>0.8075</v>
      </c>
      <c r="R148" s="102">
        <v>0.8257</v>
      </c>
      <c r="S148" s="102">
        <v>0.8265</v>
      </c>
      <c r="T148" s="102">
        <v>0.8244</v>
      </c>
      <c r="U148" s="102">
        <v>0.8303</v>
      </c>
      <c r="V148" s="102">
        <v>0.8334</v>
      </c>
    </row>
    <row r="149" ht="15" spans="1:22">
      <c r="A149" s="98"/>
      <c r="B149" s="99">
        <v>9</v>
      </c>
      <c r="C149" s="102">
        <v>0.7639</v>
      </c>
      <c r="D149" s="102">
        <v>0.7652</v>
      </c>
      <c r="E149" s="102">
        <v>0.7595</v>
      </c>
      <c r="F149" s="102">
        <v>0.7637</v>
      </c>
      <c r="G149" s="102">
        <v>0.7647</v>
      </c>
      <c r="H149" s="102">
        <v>0.7865</v>
      </c>
      <c r="I149" s="102">
        <v>0.7862</v>
      </c>
      <c r="J149" s="102">
        <v>0.7835</v>
      </c>
      <c r="K149" s="102">
        <v>0.7876</v>
      </c>
      <c r="L149" s="102">
        <v>0.7936</v>
      </c>
      <c r="M149" s="102">
        <v>0.8163</v>
      </c>
      <c r="N149" s="102">
        <v>0.8136</v>
      </c>
      <c r="O149" s="102">
        <v>0.8154</v>
      </c>
      <c r="P149" s="102">
        <v>0.8198</v>
      </c>
      <c r="Q149" s="102">
        <v>0.8224</v>
      </c>
      <c r="R149" s="102">
        <v>0.8461</v>
      </c>
      <c r="S149" s="102">
        <v>0.8458</v>
      </c>
      <c r="T149" s="102">
        <v>0.8434</v>
      </c>
      <c r="U149" s="102">
        <v>0.8492</v>
      </c>
      <c r="V149" s="102">
        <v>0.8502</v>
      </c>
    </row>
    <row r="150" ht="15" spans="1:22">
      <c r="A150" s="98"/>
      <c r="B150" s="99">
        <v>10</v>
      </c>
      <c r="C150" s="102">
        <v>0.7726</v>
      </c>
      <c r="D150" s="102">
        <v>0.7731</v>
      </c>
      <c r="E150" s="102">
        <v>0.7672</v>
      </c>
      <c r="F150" s="102">
        <v>0.7706</v>
      </c>
      <c r="G150" s="102">
        <v>0.7722</v>
      </c>
      <c r="H150" s="102">
        <v>0.8006</v>
      </c>
      <c r="I150" s="102">
        <v>0.7975</v>
      </c>
      <c r="J150" s="102">
        <v>0.7953</v>
      </c>
      <c r="K150" s="102">
        <v>0.804</v>
      </c>
      <c r="L150" s="102">
        <v>0.8068</v>
      </c>
      <c r="M150" s="102">
        <v>0.8325</v>
      </c>
      <c r="N150" s="102">
        <v>0.8317</v>
      </c>
      <c r="O150" s="102">
        <v>0.8319</v>
      </c>
      <c r="P150" s="102">
        <v>0.8358</v>
      </c>
      <c r="Q150" s="102">
        <v>0.8409</v>
      </c>
      <c r="R150" s="102">
        <v>0.8689</v>
      </c>
      <c r="S150" s="102">
        <v>0.8642</v>
      </c>
      <c r="T150" s="102">
        <v>0.864</v>
      </c>
      <c r="U150" s="102">
        <v>0.8652</v>
      </c>
      <c r="V150" s="102">
        <v>0.8671</v>
      </c>
    </row>
    <row r="151" ht="15" spans="1:22">
      <c r="A151" s="98"/>
      <c r="B151" s="99">
        <v>11</v>
      </c>
      <c r="C151" s="102">
        <v>0.7801</v>
      </c>
      <c r="D151" s="102">
        <v>0.7794</v>
      </c>
      <c r="E151" s="102">
        <v>0.774</v>
      </c>
      <c r="F151" s="102">
        <v>0.7789</v>
      </c>
      <c r="G151" s="102">
        <v>0.7801</v>
      </c>
      <c r="H151" s="102">
        <v>0.8125</v>
      </c>
      <c r="I151" s="102">
        <v>0.8102</v>
      </c>
      <c r="J151" s="102">
        <v>0.8104</v>
      </c>
      <c r="K151" s="102">
        <v>0.8165</v>
      </c>
      <c r="L151" s="102">
        <v>0.8195</v>
      </c>
      <c r="M151" s="102">
        <v>0.8526</v>
      </c>
      <c r="N151" s="102">
        <v>0.8498</v>
      </c>
      <c r="O151" s="102">
        <v>0.8478</v>
      </c>
      <c r="P151" s="102">
        <v>0.8522</v>
      </c>
      <c r="Q151" s="102">
        <v>0.854</v>
      </c>
      <c r="R151" s="102">
        <v>0.8815</v>
      </c>
      <c r="S151" s="102">
        <v>0.8815</v>
      </c>
      <c r="T151" s="102">
        <v>0.8773</v>
      </c>
      <c r="U151" s="102">
        <v>0.8776</v>
      </c>
      <c r="V151" s="102">
        <v>0.8739</v>
      </c>
    </row>
    <row r="152" ht="15" spans="1:22">
      <c r="A152" s="98"/>
      <c r="B152" s="99">
        <v>12</v>
      </c>
      <c r="C152" s="102">
        <v>0.788</v>
      </c>
      <c r="D152" s="102">
        <v>0.7868</v>
      </c>
      <c r="E152" s="102">
        <v>0.7839</v>
      </c>
      <c r="F152" s="102">
        <v>0.7872</v>
      </c>
      <c r="G152" s="102">
        <v>0.7934</v>
      </c>
      <c r="H152" s="102">
        <v>0.8253</v>
      </c>
      <c r="I152" s="102">
        <v>0.8256</v>
      </c>
      <c r="J152" s="102">
        <v>0.8249</v>
      </c>
      <c r="K152" s="102">
        <v>0.829</v>
      </c>
      <c r="L152" s="102">
        <v>0.8337</v>
      </c>
      <c r="M152" s="102">
        <v>0.8673</v>
      </c>
      <c r="N152" s="102">
        <v>0.8639</v>
      </c>
      <c r="O152" s="102">
        <v>0.8624</v>
      </c>
      <c r="P152" s="102">
        <v>0.8641</v>
      </c>
      <c r="Q152" s="102">
        <v>0.8669</v>
      </c>
      <c r="R152" s="102">
        <v>0.8893</v>
      </c>
      <c r="S152" s="102">
        <v>0.8872</v>
      </c>
      <c r="T152" s="102">
        <v>0.8799</v>
      </c>
      <c r="U152" s="102">
        <v>0.8771</v>
      </c>
      <c r="V152" s="102">
        <v>0.8672</v>
      </c>
    </row>
    <row r="153" ht="15" spans="1:22">
      <c r="A153" s="98"/>
      <c r="B153" s="99">
        <v>13</v>
      </c>
      <c r="C153" s="102">
        <v>0.7965</v>
      </c>
      <c r="D153" s="102">
        <v>0.794</v>
      </c>
      <c r="E153" s="102">
        <v>0.792</v>
      </c>
      <c r="F153" s="102">
        <v>0.7998</v>
      </c>
      <c r="G153" s="102">
        <v>0.804</v>
      </c>
      <c r="H153" s="102">
        <v>0.8373</v>
      </c>
      <c r="I153" s="102">
        <v>0.8369</v>
      </c>
      <c r="J153" s="102">
        <v>0.8378</v>
      </c>
      <c r="K153" s="102">
        <v>0.8403</v>
      </c>
      <c r="L153" s="102">
        <v>0.8434</v>
      </c>
      <c r="M153" s="102">
        <v>0.8804</v>
      </c>
      <c r="N153" s="102">
        <v>0.8781</v>
      </c>
      <c r="O153" s="102">
        <v>0.8732</v>
      </c>
      <c r="P153" s="102">
        <v>0.8766</v>
      </c>
      <c r="Q153" s="102">
        <v>0.8716</v>
      </c>
      <c r="R153" s="102">
        <v>0.8861</v>
      </c>
      <c r="S153" s="102">
        <v>0.8822</v>
      </c>
      <c r="T153" s="102">
        <v>0.8762</v>
      </c>
      <c r="U153" s="102">
        <v>0.8689</v>
      </c>
      <c r="V153" s="102">
        <v>0.8651</v>
      </c>
    </row>
    <row r="154" ht="15" spans="1:22">
      <c r="A154" s="98"/>
      <c r="B154" s="99">
        <v>14</v>
      </c>
      <c r="C154" s="102">
        <v>0.8057</v>
      </c>
      <c r="D154" s="102">
        <v>0.8047</v>
      </c>
      <c r="E154" s="102">
        <v>0.8045</v>
      </c>
      <c r="F154" s="102">
        <v>0.8103</v>
      </c>
      <c r="G154" s="102">
        <v>0.8151</v>
      </c>
      <c r="H154" s="102">
        <v>0.8551</v>
      </c>
      <c r="I154" s="102">
        <v>0.8522</v>
      </c>
      <c r="J154" s="102">
        <v>0.8496</v>
      </c>
      <c r="K154" s="102">
        <v>0.8532</v>
      </c>
      <c r="L154" s="102">
        <v>0.8559</v>
      </c>
      <c r="M154" s="102">
        <v>0.8862</v>
      </c>
      <c r="N154" s="102">
        <v>0.8859</v>
      </c>
      <c r="O154" s="102">
        <v>0.8825</v>
      </c>
      <c r="P154" s="102">
        <v>0.8753</v>
      </c>
      <c r="Q154" s="102">
        <v>0.8667</v>
      </c>
      <c r="R154" s="102">
        <v>0.881</v>
      </c>
      <c r="S154" s="102">
        <v>0.8792</v>
      </c>
      <c r="T154" s="102">
        <v>0.8713</v>
      </c>
      <c r="U154" s="102">
        <v>0.8681</v>
      </c>
      <c r="V154" s="102">
        <v>0.863</v>
      </c>
    </row>
    <row r="155" ht="15" spans="1:22">
      <c r="A155" s="98"/>
      <c r="B155" s="99">
        <v>15</v>
      </c>
      <c r="C155" s="102">
        <v>0.8186</v>
      </c>
      <c r="D155" s="102">
        <v>0.8169</v>
      </c>
      <c r="E155" s="102">
        <v>0.8173</v>
      </c>
      <c r="F155" s="102">
        <v>0.8217</v>
      </c>
      <c r="G155" s="102">
        <v>0.8265</v>
      </c>
      <c r="H155" s="102">
        <v>0.8686</v>
      </c>
      <c r="I155" s="102">
        <v>0.8657</v>
      </c>
      <c r="J155" s="102">
        <v>0.8647</v>
      </c>
      <c r="K155" s="102">
        <v>0.8662</v>
      </c>
      <c r="L155" s="102">
        <v>0.8701</v>
      </c>
      <c r="M155" s="102">
        <v>0.8915</v>
      </c>
      <c r="N155" s="102">
        <v>0.8867</v>
      </c>
      <c r="O155" s="102">
        <v>0.8802</v>
      </c>
      <c r="P155" s="102">
        <v>0.8777</v>
      </c>
      <c r="Q155" s="102">
        <v>0.8698</v>
      </c>
      <c r="R155" s="102">
        <v>0.8847</v>
      </c>
      <c r="S155" s="102">
        <v>0.8795</v>
      </c>
      <c r="T155" s="102">
        <v>0.8732</v>
      </c>
      <c r="U155" s="102">
        <v>0.8696</v>
      </c>
      <c r="V155" s="102">
        <v>0.8685</v>
      </c>
    </row>
    <row r="156" ht="15" spans="1:22">
      <c r="A156" s="98"/>
      <c r="B156" s="99">
        <v>16</v>
      </c>
      <c r="C156" s="102">
        <v>0.83</v>
      </c>
      <c r="D156" s="102">
        <v>0.8294</v>
      </c>
      <c r="E156" s="102">
        <v>0.8307</v>
      </c>
      <c r="F156" s="102">
        <v>0.8318</v>
      </c>
      <c r="G156" s="102">
        <v>0.8374</v>
      </c>
      <c r="H156" s="102">
        <v>0.8797</v>
      </c>
      <c r="I156" s="102">
        <v>0.8783</v>
      </c>
      <c r="J156" s="102">
        <v>0.8754</v>
      </c>
      <c r="K156" s="102">
        <v>0.8753</v>
      </c>
      <c r="L156" s="102">
        <v>0.8754</v>
      </c>
      <c r="M156" s="102">
        <v>0.8869</v>
      </c>
      <c r="N156" s="102">
        <v>0.8851</v>
      </c>
      <c r="O156" s="102">
        <v>0.8781</v>
      </c>
      <c r="P156" s="102">
        <v>0.8724</v>
      </c>
      <c r="Q156" s="102">
        <v>0.867</v>
      </c>
      <c r="R156" s="102">
        <v>0.8842</v>
      </c>
      <c r="S156" s="102">
        <v>0.88</v>
      </c>
      <c r="T156" s="102">
        <v>0.8722</v>
      </c>
      <c r="U156" s="102">
        <v>0.8719</v>
      </c>
      <c r="V156" s="102">
        <v>0.8692</v>
      </c>
    </row>
    <row r="157" ht="15" spans="1:22">
      <c r="A157" s="98"/>
      <c r="B157" s="99">
        <v>17</v>
      </c>
      <c r="C157" s="102">
        <v>0.8392</v>
      </c>
      <c r="D157" s="102">
        <v>0.8394</v>
      </c>
      <c r="E157" s="102">
        <v>0.8375</v>
      </c>
      <c r="F157" s="102">
        <v>0.8427</v>
      </c>
      <c r="G157" s="102">
        <v>0.8454</v>
      </c>
      <c r="H157" s="102">
        <v>0.8894</v>
      </c>
      <c r="I157" s="102">
        <v>0.8863</v>
      </c>
      <c r="J157" s="102">
        <v>0.8835</v>
      </c>
      <c r="K157" s="102">
        <v>0.8822</v>
      </c>
      <c r="L157" s="102">
        <v>0.8748</v>
      </c>
      <c r="M157" s="102">
        <v>0.8859</v>
      </c>
      <c r="N157" s="102">
        <v>0.8822</v>
      </c>
      <c r="O157" s="102">
        <v>0.8747</v>
      </c>
      <c r="P157" s="102">
        <v>0.8713</v>
      </c>
      <c r="Q157" s="102">
        <v>0.8672</v>
      </c>
      <c r="R157" s="102">
        <v>0.8835</v>
      </c>
      <c r="S157" s="102">
        <v>0.8794</v>
      </c>
      <c r="T157" s="102">
        <v>0.8762</v>
      </c>
      <c r="U157" s="102">
        <v>0.8724</v>
      </c>
      <c r="V157" s="102">
        <v>0.874</v>
      </c>
    </row>
    <row r="158" ht="15" spans="1:22">
      <c r="A158" s="98"/>
      <c r="B158" s="99">
        <v>18</v>
      </c>
      <c r="C158" s="102">
        <v>0.8479</v>
      </c>
      <c r="D158" s="102">
        <v>0.8488</v>
      </c>
      <c r="E158" s="102">
        <v>0.8474</v>
      </c>
      <c r="F158" s="102">
        <v>0.8512</v>
      </c>
      <c r="G158" s="102">
        <v>0.8541</v>
      </c>
      <c r="H158" s="102">
        <v>0.8914</v>
      </c>
      <c r="I158" s="102">
        <v>0.8874</v>
      </c>
      <c r="J158" s="102">
        <v>0.8829</v>
      </c>
      <c r="K158" s="102">
        <v>0.8786</v>
      </c>
      <c r="L158" s="102">
        <v>0.8683</v>
      </c>
      <c r="M158" s="102">
        <v>0.8838</v>
      </c>
      <c r="N158" s="102">
        <v>0.8798</v>
      </c>
      <c r="O158" s="102">
        <v>0.8731</v>
      </c>
      <c r="P158" s="102">
        <v>0.8702</v>
      </c>
      <c r="Q158" s="102">
        <v>0.8666</v>
      </c>
      <c r="R158" s="102">
        <v>0.8864</v>
      </c>
      <c r="S158" s="102">
        <v>0.8828</v>
      </c>
      <c r="T158" s="102">
        <v>0.8769</v>
      </c>
      <c r="U158" s="102">
        <v>0.8776</v>
      </c>
      <c r="V158" s="102">
        <v>0.8754</v>
      </c>
    </row>
    <row r="159" ht="15" spans="1:22">
      <c r="A159" s="98"/>
      <c r="B159" s="99">
        <v>19</v>
      </c>
      <c r="C159" s="102">
        <v>0.8618</v>
      </c>
      <c r="D159" s="102">
        <v>0.8587</v>
      </c>
      <c r="E159" s="102">
        <v>0.8579</v>
      </c>
      <c r="F159" s="102">
        <v>0.8587</v>
      </c>
      <c r="G159" s="102">
        <v>0.8635</v>
      </c>
      <c r="H159" s="102">
        <v>0.8912</v>
      </c>
      <c r="I159" s="102">
        <v>0.887</v>
      </c>
      <c r="J159" s="102">
        <v>0.8795</v>
      </c>
      <c r="K159" s="102">
        <v>0.8731</v>
      </c>
      <c r="L159" s="102">
        <v>0.8686</v>
      </c>
      <c r="M159" s="102">
        <v>0.8856</v>
      </c>
      <c r="N159" s="102">
        <v>0.8801</v>
      </c>
      <c r="O159" s="102">
        <v>0.873</v>
      </c>
      <c r="P159" s="102">
        <v>0.871</v>
      </c>
      <c r="Q159" s="102">
        <v>0.8704</v>
      </c>
      <c r="R159" s="102">
        <v>0.8884</v>
      </c>
      <c r="S159" s="102">
        <v>0.8859</v>
      </c>
      <c r="T159" s="102">
        <v>0.882</v>
      </c>
      <c r="U159" s="102">
        <v>0.8811</v>
      </c>
      <c r="V159" s="102">
        <v>0.881</v>
      </c>
    </row>
    <row r="160" ht="15" spans="1:22">
      <c r="A160" s="98"/>
      <c r="B160" s="99">
        <v>20</v>
      </c>
      <c r="C160" s="102">
        <v>0.871</v>
      </c>
      <c r="D160" s="102">
        <v>0.8686</v>
      </c>
      <c r="E160" s="102">
        <v>0.8664</v>
      </c>
      <c r="F160" s="102">
        <v>0.8677</v>
      </c>
      <c r="G160" s="102">
        <v>0.871</v>
      </c>
      <c r="H160" s="102">
        <v>0.8868</v>
      </c>
      <c r="I160" s="102">
        <v>0.8844</v>
      </c>
      <c r="J160" s="102">
        <v>0.8769</v>
      </c>
      <c r="K160" s="102">
        <v>0.8736</v>
      </c>
      <c r="L160" s="102">
        <v>0.8668</v>
      </c>
      <c r="M160" s="102">
        <v>0.8852</v>
      </c>
      <c r="N160" s="102">
        <v>0.8793</v>
      </c>
      <c r="O160" s="102">
        <v>0.875</v>
      </c>
      <c r="P160" s="102">
        <v>0.8741</v>
      </c>
      <c r="Q160" s="102">
        <v>0.8723</v>
      </c>
      <c r="R160" s="102">
        <v>0.8942</v>
      </c>
      <c r="S160" s="102">
        <v>0.8898</v>
      </c>
      <c r="T160" s="102">
        <v>0.885</v>
      </c>
      <c r="U160" s="102">
        <v>0.8864</v>
      </c>
      <c r="V160" s="102">
        <v>0.8851</v>
      </c>
    </row>
    <row r="161" ht="15" spans="1:22">
      <c r="A161" s="98"/>
      <c r="B161" s="99">
        <v>21</v>
      </c>
      <c r="C161" s="102">
        <v>0.8772</v>
      </c>
      <c r="D161" s="102">
        <v>0.8758</v>
      </c>
      <c r="E161" s="102">
        <v>0.8724</v>
      </c>
      <c r="F161" s="102">
        <v>0.8755</v>
      </c>
      <c r="G161" s="102">
        <v>0.8766</v>
      </c>
      <c r="H161" s="102">
        <v>0.886</v>
      </c>
      <c r="I161" s="102">
        <v>0.8828</v>
      </c>
      <c r="J161" s="102">
        <v>0.8736</v>
      </c>
      <c r="K161" s="102">
        <v>0.8699</v>
      </c>
      <c r="L161" s="102">
        <v>0.8665</v>
      </c>
      <c r="M161" s="102">
        <v>0.8845</v>
      </c>
      <c r="N161" s="102">
        <v>0.8815</v>
      </c>
      <c r="O161" s="102">
        <v>0.8769</v>
      </c>
      <c r="P161" s="102">
        <v>0.8757</v>
      </c>
      <c r="Q161" s="102">
        <v>0.8731</v>
      </c>
      <c r="R161" s="102">
        <v>0.8979</v>
      </c>
      <c r="S161" s="102">
        <v>0.8931</v>
      </c>
      <c r="T161" s="102">
        <v>0.891</v>
      </c>
      <c r="U161" s="102">
        <v>0.8901</v>
      </c>
      <c r="V161" s="102">
        <v>0.8918</v>
      </c>
    </row>
    <row r="162" ht="15" spans="1:22">
      <c r="A162" s="98"/>
      <c r="B162" s="99">
        <v>22</v>
      </c>
      <c r="C162" s="102">
        <v>0.8853</v>
      </c>
      <c r="D162" s="102">
        <v>0.8821</v>
      </c>
      <c r="E162" s="102">
        <v>0.881</v>
      </c>
      <c r="F162" s="102">
        <v>0.8801</v>
      </c>
      <c r="G162" s="102">
        <v>0.8732</v>
      </c>
      <c r="H162" s="102">
        <v>0.8853</v>
      </c>
      <c r="I162" s="102">
        <v>0.8805</v>
      </c>
      <c r="J162" s="102">
        <v>0.8723</v>
      </c>
      <c r="K162" s="102">
        <v>0.871</v>
      </c>
      <c r="L162" s="102">
        <v>0.8678</v>
      </c>
      <c r="M162" s="102">
        <v>0.8878</v>
      </c>
      <c r="N162" s="102">
        <v>0.8849</v>
      </c>
      <c r="O162" s="102">
        <v>0.879</v>
      </c>
      <c r="P162" s="102">
        <v>0.8777</v>
      </c>
      <c r="Q162" s="102">
        <v>0.8784</v>
      </c>
      <c r="R162" s="102">
        <v>0.9023</v>
      </c>
      <c r="S162" s="102">
        <v>0.8965</v>
      </c>
      <c r="T162" s="102">
        <v>0.8944</v>
      </c>
      <c r="U162" s="102">
        <v>0.8958</v>
      </c>
      <c r="V162" s="102">
        <v>0.8957</v>
      </c>
    </row>
    <row r="163" ht="15" spans="1:22">
      <c r="A163" s="98"/>
      <c r="B163" s="99">
        <v>23</v>
      </c>
      <c r="C163" s="102">
        <v>0.8907</v>
      </c>
      <c r="D163" s="102">
        <v>0.8884</v>
      </c>
      <c r="E163" s="102">
        <v>0.8851</v>
      </c>
      <c r="F163" s="102">
        <v>0.8821</v>
      </c>
      <c r="G163" s="102">
        <v>0.8715</v>
      </c>
      <c r="H163" s="102">
        <v>0.8831</v>
      </c>
      <c r="I163" s="102">
        <v>0.8797</v>
      </c>
      <c r="J163" s="102">
        <v>0.8718</v>
      </c>
      <c r="K163" s="102">
        <v>0.8698</v>
      </c>
      <c r="L163" s="102">
        <v>0.8676</v>
      </c>
      <c r="M163" s="102">
        <v>0.8905</v>
      </c>
      <c r="N163" s="102">
        <v>0.8872</v>
      </c>
      <c r="O163" s="102">
        <v>0.8825</v>
      </c>
      <c r="P163" s="102">
        <v>0.8812</v>
      </c>
      <c r="Q163" s="102">
        <v>0.8814</v>
      </c>
      <c r="R163" s="102">
        <v>0.9076</v>
      </c>
      <c r="S163" s="102">
        <v>0.903</v>
      </c>
      <c r="T163" s="102">
        <v>0.9005</v>
      </c>
      <c r="U163" s="102">
        <v>0.9001</v>
      </c>
      <c r="V163" s="102">
        <v>0.9001</v>
      </c>
    </row>
    <row r="164" ht="15" spans="1:22">
      <c r="A164" s="98"/>
      <c r="B164" s="99">
        <v>24</v>
      </c>
      <c r="C164" s="102">
        <v>0.8927</v>
      </c>
      <c r="D164" s="102">
        <v>0.8897</v>
      </c>
      <c r="E164" s="102">
        <v>0.8832</v>
      </c>
      <c r="F164" s="102">
        <v>0.8776</v>
      </c>
      <c r="G164" s="102">
        <v>0.8686</v>
      </c>
      <c r="H164" s="102">
        <v>0.8828</v>
      </c>
      <c r="I164" s="102">
        <v>0.878</v>
      </c>
      <c r="J164" s="102">
        <v>0.8741</v>
      </c>
      <c r="K164" s="102">
        <v>0.8725</v>
      </c>
      <c r="L164" s="102">
        <v>0.8692</v>
      </c>
      <c r="M164" s="102">
        <v>0.8941</v>
      </c>
      <c r="N164" s="102">
        <v>0.889</v>
      </c>
      <c r="O164" s="102">
        <v>0.8849</v>
      </c>
      <c r="P164" s="102">
        <v>0.8845</v>
      </c>
      <c r="Q164" s="102">
        <v>0.8875</v>
      </c>
      <c r="R164" s="102">
        <v>0.9115</v>
      </c>
      <c r="S164" s="102">
        <v>0.908</v>
      </c>
      <c r="T164" s="102">
        <v>0.9041</v>
      </c>
      <c r="U164" s="102">
        <v>0.9054</v>
      </c>
      <c r="V164" s="102">
        <v>0.8988</v>
      </c>
    </row>
    <row r="165" ht="15" spans="1:22">
      <c r="A165" s="98"/>
      <c r="B165" s="99">
        <v>25</v>
      </c>
      <c r="C165" s="102">
        <v>0.8925</v>
      </c>
      <c r="D165" s="102">
        <v>0.888</v>
      </c>
      <c r="E165" s="102">
        <v>0.8815</v>
      </c>
      <c r="F165" s="102">
        <v>0.8747</v>
      </c>
      <c r="G165" s="102">
        <v>0.8681</v>
      </c>
      <c r="H165" s="102">
        <v>0.8839</v>
      </c>
      <c r="I165" s="102">
        <v>0.8797</v>
      </c>
      <c r="J165" s="102">
        <v>0.8747</v>
      </c>
      <c r="K165" s="102">
        <v>0.8724</v>
      </c>
      <c r="L165" s="102">
        <v>0.8712</v>
      </c>
      <c r="M165" s="102">
        <v>0.8969</v>
      </c>
      <c r="N165" s="102">
        <v>0.8925</v>
      </c>
      <c r="O165" s="102">
        <v>0.8897</v>
      </c>
      <c r="P165" s="102">
        <v>0.8898</v>
      </c>
      <c r="Q165" s="102">
        <v>0.8905</v>
      </c>
      <c r="R165" s="102">
        <v>0.9157</v>
      </c>
      <c r="S165" s="102">
        <v>0.9123</v>
      </c>
      <c r="T165" s="102">
        <v>0.9095</v>
      </c>
      <c r="U165" s="102">
        <v>0.9026</v>
      </c>
      <c r="V165" s="102">
        <v>0.894</v>
      </c>
    </row>
    <row r="168" ht="15" spans="1:22">
      <c r="A168" s="98">
        <v>0.3</v>
      </c>
      <c r="B168" s="99">
        <v>6</v>
      </c>
      <c r="C168" s="102">
        <v>0.7163</v>
      </c>
      <c r="D168" s="102">
        <v>0.7203</v>
      </c>
      <c r="E168" s="102">
        <v>0.7243</v>
      </c>
      <c r="F168" s="102">
        <v>0.7312</v>
      </c>
      <c r="G168" s="102">
        <v>0.736</v>
      </c>
      <c r="H168" s="102">
        <v>0.7479</v>
      </c>
      <c r="I168" s="102">
        <v>0.756</v>
      </c>
      <c r="J168" s="102">
        <v>0.7517</v>
      </c>
      <c r="K168" s="102">
        <v>0.7537</v>
      </c>
      <c r="L168" s="102">
        <v>0.7511</v>
      </c>
      <c r="M168" s="102">
        <v>0.759</v>
      </c>
      <c r="N168" s="102">
        <v>0.7625</v>
      </c>
      <c r="O168" s="102">
        <v>0.7589</v>
      </c>
      <c r="P168" s="102">
        <v>0.7613</v>
      </c>
      <c r="Q168" s="102">
        <v>0.7623</v>
      </c>
      <c r="R168" s="102">
        <v>0.7714</v>
      </c>
      <c r="S168" s="102">
        <v>0.7732</v>
      </c>
      <c r="T168" s="102">
        <v>0.7701</v>
      </c>
      <c r="U168" s="102">
        <v>0.773</v>
      </c>
      <c r="V168" s="102">
        <v>0.7748</v>
      </c>
    </row>
    <row r="169" ht="15" spans="1:22">
      <c r="A169" s="98"/>
      <c r="B169" s="99">
        <v>7</v>
      </c>
      <c r="C169" s="102">
        <v>0.7397</v>
      </c>
      <c r="D169" s="102">
        <v>0.7484</v>
      </c>
      <c r="E169" s="102">
        <v>0.7487</v>
      </c>
      <c r="F169" s="102">
        <v>0.7518</v>
      </c>
      <c r="G169" s="102">
        <v>0.7464</v>
      </c>
      <c r="H169" s="102">
        <v>0.7552</v>
      </c>
      <c r="I169" s="102">
        <v>0.7612</v>
      </c>
      <c r="J169" s="102">
        <v>0.7549</v>
      </c>
      <c r="K169" s="102">
        <v>0.7581</v>
      </c>
      <c r="L169" s="102">
        <v>0.7571</v>
      </c>
      <c r="M169" s="102">
        <v>0.7693</v>
      </c>
      <c r="N169" s="102">
        <v>0.7701</v>
      </c>
      <c r="O169" s="102">
        <v>0.7672</v>
      </c>
      <c r="P169" s="102">
        <v>0.7704</v>
      </c>
      <c r="Q169" s="102">
        <v>0.7724</v>
      </c>
      <c r="R169" s="102">
        <v>0.7861</v>
      </c>
      <c r="S169" s="102">
        <v>0.786</v>
      </c>
      <c r="T169" s="102">
        <v>0.7828</v>
      </c>
      <c r="U169" s="102">
        <v>0.7866</v>
      </c>
      <c r="V169" s="102">
        <v>0.792</v>
      </c>
    </row>
    <row r="170" ht="15" spans="1:22">
      <c r="A170" s="98"/>
      <c r="B170" s="99">
        <v>8</v>
      </c>
      <c r="C170" s="102">
        <v>0.7489</v>
      </c>
      <c r="D170" s="102">
        <v>0.7565</v>
      </c>
      <c r="E170" s="102">
        <v>0.7516</v>
      </c>
      <c r="F170" s="102">
        <v>0.7542</v>
      </c>
      <c r="G170" s="102">
        <v>0.7508</v>
      </c>
      <c r="H170" s="102">
        <v>0.762</v>
      </c>
      <c r="I170" s="102">
        <v>0.765</v>
      </c>
      <c r="J170" s="102">
        <v>0.7598</v>
      </c>
      <c r="K170" s="102">
        <v>0.7632</v>
      </c>
      <c r="L170" s="102">
        <v>0.764</v>
      </c>
      <c r="M170" s="102">
        <v>0.78</v>
      </c>
      <c r="N170" s="102">
        <v>0.7799</v>
      </c>
      <c r="O170" s="102">
        <v>0.7768</v>
      </c>
      <c r="P170" s="102">
        <v>0.7806</v>
      </c>
      <c r="Q170" s="102">
        <v>0.7898</v>
      </c>
      <c r="R170" s="102">
        <v>0.8016</v>
      </c>
      <c r="S170" s="102">
        <v>0.7993</v>
      </c>
      <c r="T170" s="102">
        <v>0.7971</v>
      </c>
      <c r="U170" s="102">
        <v>0.8058</v>
      </c>
      <c r="V170" s="102">
        <v>0.8105</v>
      </c>
    </row>
    <row r="171" ht="15" spans="1:22">
      <c r="A171" s="98"/>
      <c r="B171" s="99">
        <v>9</v>
      </c>
      <c r="C171" s="102">
        <v>0.7558</v>
      </c>
      <c r="D171" s="102">
        <v>0.7604</v>
      </c>
      <c r="E171" s="102">
        <v>0.755</v>
      </c>
      <c r="F171" s="102">
        <v>0.7571</v>
      </c>
      <c r="G171" s="102">
        <v>0.7562</v>
      </c>
      <c r="H171" s="102">
        <v>0.7726</v>
      </c>
      <c r="I171" s="102">
        <v>0.7729</v>
      </c>
      <c r="J171" s="102">
        <v>0.7673</v>
      </c>
      <c r="K171" s="102">
        <v>0.7715</v>
      </c>
      <c r="L171" s="102">
        <v>0.774</v>
      </c>
      <c r="M171" s="102">
        <v>0.7935</v>
      </c>
      <c r="N171" s="102">
        <v>0.7938</v>
      </c>
      <c r="O171" s="102">
        <v>0.791</v>
      </c>
      <c r="P171" s="102">
        <v>0.7965</v>
      </c>
      <c r="Q171" s="102">
        <v>0.8024</v>
      </c>
      <c r="R171" s="102">
        <v>0.8187</v>
      </c>
      <c r="S171" s="102">
        <v>0.8169</v>
      </c>
      <c r="T171" s="102">
        <v>0.8186</v>
      </c>
      <c r="U171" s="102">
        <v>0.823</v>
      </c>
      <c r="V171" s="102">
        <v>0.8256</v>
      </c>
    </row>
    <row r="172" ht="15" spans="1:22">
      <c r="A172" s="98"/>
      <c r="B172" s="99">
        <v>10</v>
      </c>
      <c r="C172" s="102">
        <v>0.7607</v>
      </c>
      <c r="D172" s="102">
        <v>0.7637</v>
      </c>
      <c r="E172" s="102">
        <v>0.7603</v>
      </c>
      <c r="F172" s="102">
        <v>0.7628</v>
      </c>
      <c r="G172" s="102">
        <v>0.7615</v>
      </c>
      <c r="H172" s="102">
        <v>0.7819</v>
      </c>
      <c r="I172" s="102">
        <v>0.7808</v>
      </c>
      <c r="J172" s="102">
        <v>0.7784</v>
      </c>
      <c r="K172" s="102">
        <v>0.7817</v>
      </c>
      <c r="L172" s="102">
        <v>0.7883</v>
      </c>
      <c r="M172" s="102">
        <v>0.809</v>
      </c>
      <c r="N172" s="102">
        <v>0.8064</v>
      </c>
      <c r="O172" s="102">
        <v>0.8078</v>
      </c>
      <c r="P172" s="102">
        <v>0.8112</v>
      </c>
      <c r="Q172" s="102">
        <v>0.816</v>
      </c>
      <c r="R172" s="102">
        <v>0.8363</v>
      </c>
      <c r="S172" s="102">
        <v>0.8367</v>
      </c>
      <c r="T172" s="102">
        <v>0.8349</v>
      </c>
      <c r="U172" s="102">
        <v>0.839</v>
      </c>
      <c r="V172" s="102">
        <v>0.8427</v>
      </c>
    </row>
    <row r="173" ht="15" spans="1:22">
      <c r="A173" s="98"/>
      <c r="B173" s="99">
        <v>11</v>
      </c>
      <c r="C173" s="102">
        <v>0.7676</v>
      </c>
      <c r="D173" s="102">
        <v>0.7669</v>
      </c>
      <c r="E173" s="102">
        <v>0.7639</v>
      </c>
      <c r="F173" s="102">
        <v>0.7678</v>
      </c>
      <c r="G173" s="102">
        <v>0.7672</v>
      </c>
      <c r="H173" s="102">
        <v>0.7915</v>
      </c>
      <c r="I173" s="102">
        <v>0.7912</v>
      </c>
      <c r="J173" s="102">
        <v>0.7875</v>
      </c>
      <c r="K173" s="102">
        <v>0.7953</v>
      </c>
      <c r="L173" s="102">
        <v>0.7973</v>
      </c>
      <c r="M173" s="102">
        <v>0.8228</v>
      </c>
      <c r="N173" s="102">
        <v>0.819</v>
      </c>
      <c r="O173" s="102">
        <v>0.8219</v>
      </c>
      <c r="P173" s="102">
        <v>0.8258</v>
      </c>
      <c r="Q173" s="102">
        <v>0.8294</v>
      </c>
      <c r="R173" s="102">
        <v>0.8554</v>
      </c>
      <c r="S173" s="102">
        <v>0.8524</v>
      </c>
      <c r="T173" s="102">
        <v>0.8522</v>
      </c>
      <c r="U173" s="102">
        <v>0.8522</v>
      </c>
      <c r="V173" s="102">
        <v>0.8571</v>
      </c>
    </row>
    <row r="174" ht="15" spans="1:22">
      <c r="A174" s="98"/>
      <c r="B174" s="99">
        <v>12</v>
      </c>
      <c r="C174" s="102">
        <v>0.773</v>
      </c>
      <c r="D174" s="102">
        <v>0.7687</v>
      </c>
      <c r="E174" s="102">
        <v>0.7688</v>
      </c>
      <c r="F174" s="102">
        <v>0.773</v>
      </c>
      <c r="G174" s="102">
        <v>0.7739</v>
      </c>
      <c r="H174" s="102">
        <v>0.8015</v>
      </c>
      <c r="I174" s="102">
        <v>0.8007</v>
      </c>
      <c r="J174" s="102">
        <v>0.7973</v>
      </c>
      <c r="K174" s="102">
        <v>0.805</v>
      </c>
      <c r="L174" s="102">
        <v>0.8105</v>
      </c>
      <c r="M174" s="102">
        <v>0.8362</v>
      </c>
      <c r="N174" s="102">
        <v>0.836</v>
      </c>
      <c r="O174" s="102">
        <v>0.8342</v>
      </c>
      <c r="P174" s="102">
        <v>0.8386</v>
      </c>
      <c r="Q174" s="102">
        <v>0.8422</v>
      </c>
      <c r="R174" s="102">
        <v>0.8715</v>
      </c>
      <c r="S174" s="102">
        <v>0.8665</v>
      </c>
      <c r="T174" s="102">
        <v>0.8656</v>
      </c>
      <c r="U174" s="102">
        <v>0.8668</v>
      </c>
      <c r="V174" s="102">
        <v>0.87</v>
      </c>
    </row>
    <row r="175" ht="15" spans="1:22">
      <c r="A175" s="98"/>
      <c r="B175" s="99">
        <v>13</v>
      </c>
      <c r="C175" s="102">
        <v>0.7793</v>
      </c>
      <c r="D175" s="102">
        <v>0.7736</v>
      </c>
      <c r="E175" s="102">
        <v>0.7746</v>
      </c>
      <c r="F175" s="102">
        <v>0.779</v>
      </c>
      <c r="G175" s="102">
        <v>0.7821</v>
      </c>
      <c r="H175" s="102">
        <v>0.8134</v>
      </c>
      <c r="I175" s="102">
        <v>0.8105</v>
      </c>
      <c r="J175" s="102">
        <v>0.8123</v>
      </c>
      <c r="K175" s="102">
        <v>0.8171</v>
      </c>
      <c r="L175" s="102">
        <v>0.8201</v>
      </c>
      <c r="M175" s="102">
        <v>0.8535</v>
      </c>
      <c r="N175" s="102">
        <v>0.8499</v>
      </c>
      <c r="O175" s="102">
        <v>0.8501</v>
      </c>
      <c r="P175" s="102">
        <v>0.8515</v>
      </c>
      <c r="Q175" s="102">
        <v>0.8548</v>
      </c>
      <c r="R175" s="102">
        <v>0.8816</v>
      </c>
      <c r="S175" s="102">
        <v>0.8802</v>
      </c>
      <c r="T175" s="102">
        <v>0.8788</v>
      </c>
      <c r="U175" s="102">
        <v>0.8781</v>
      </c>
      <c r="V175" s="102">
        <v>0.8722</v>
      </c>
    </row>
    <row r="176" ht="15" spans="1:22">
      <c r="A176" s="98"/>
      <c r="B176" s="99">
        <v>14</v>
      </c>
      <c r="C176" s="102">
        <v>0.7863</v>
      </c>
      <c r="D176" s="102">
        <v>0.7784</v>
      </c>
      <c r="E176" s="102">
        <v>0.7812</v>
      </c>
      <c r="F176" s="102">
        <v>0.7862</v>
      </c>
      <c r="G176" s="102">
        <v>0.7943</v>
      </c>
      <c r="H176" s="102">
        <v>0.8246</v>
      </c>
      <c r="I176" s="102">
        <v>0.8246</v>
      </c>
      <c r="J176" s="102">
        <v>0.824</v>
      </c>
      <c r="K176" s="102">
        <v>0.8281</v>
      </c>
      <c r="L176" s="102">
        <v>0.8317</v>
      </c>
      <c r="M176" s="102">
        <v>0.8653</v>
      </c>
      <c r="N176" s="102">
        <v>0.8639</v>
      </c>
      <c r="O176" s="102">
        <v>0.8627</v>
      </c>
      <c r="P176" s="102">
        <v>0.8626</v>
      </c>
      <c r="Q176" s="102">
        <v>0.8663</v>
      </c>
      <c r="R176" s="102">
        <v>0.8875</v>
      </c>
      <c r="S176" s="102">
        <v>0.8841</v>
      </c>
      <c r="T176" s="102">
        <v>0.8795</v>
      </c>
      <c r="U176" s="102">
        <v>0.8746</v>
      </c>
      <c r="V176" s="102">
        <v>0.8666</v>
      </c>
    </row>
    <row r="177" ht="15" spans="1:22">
      <c r="A177" s="98"/>
      <c r="B177" s="99">
        <v>15</v>
      </c>
      <c r="C177" s="102">
        <v>0.7946</v>
      </c>
      <c r="D177" s="102">
        <v>0.7848</v>
      </c>
      <c r="E177" s="102">
        <v>0.7883</v>
      </c>
      <c r="F177" s="102">
        <v>0.7995</v>
      </c>
      <c r="G177" s="102">
        <v>0.801</v>
      </c>
      <c r="H177" s="102">
        <v>0.8348</v>
      </c>
      <c r="I177" s="102">
        <v>0.8359</v>
      </c>
      <c r="J177" s="102">
        <v>0.8342</v>
      </c>
      <c r="K177" s="102">
        <v>0.8378</v>
      </c>
      <c r="L177" s="102">
        <v>0.8421</v>
      </c>
      <c r="M177" s="102">
        <v>0.876</v>
      </c>
      <c r="N177" s="102">
        <v>0.8734</v>
      </c>
      <c r="O177" s="102">
        <v>0.8726</v>
      </c>
      <c r="P177" s="102">
        <v>0.8741</v>
      </c>
      <c r="Q177" s="102">
        <v>0.8714</v>
      </c>
      <c r="R177" s="102">
        <v>0.884</v>
      </c>
      <c r="S177" s="102">
        <v>0.8839</v>
      </c>
      <c r="T177" s="102">
        <v>0.8748</v>
      </c>
      <c r="U177" s="102">
        <v>0.8704</v>
      </c>
      <c r="V177" s="102">
        <v>0.8628</v>
      </c>
    </row>
    <row r="178" ht="15" spans="1:22">
      <c r="A178" s="98"/>
      <c r="B178" s="99">
        <v>16</v>
      </c>
      <c r="C178" s="102">
        <v>0.8019</v>
      </c>
      <c r="D178" s="102">
        <v>0.7914</v>
      </c>
      <c r="E178" s="102">
        <v>0.8003</v>
      </c>
      <c r="F178" s="102">
        <v>0.8053</v>
      </c>
      <c r="G178" s="102">
        <v>0.809</v>
      </c>
      <c r="H178" s="102">
        <v>0.8506</v>
      </c>
      <c r="I178" s="102">
        <v>0.8477</v>
      </c>
      <c r="J178" s="102">
        <v>0.8454</v>
      </c>
      <c r="K178" s="102">
        <v>0.8481</v>
      </c>
      <c r="L178" s="102">
        <v>0.8516</v>
      </c>
      <c r="M178" s="102">
        <v>0.8856</v>
      </c>
      <c r="N178" s="102">
        <v>0.8834</v>
      </c>
      <c r="O178" s="102">
        <v>0.8813</v>
      </c>
      <c r="P178" s="102">
        <v>0.8766</v>
      </c>
      <c r="Q178" s="102">
        <v>0.8709</v>
      </c>
      <c r="R178" s="102">
        <v>0.8829</v>
      </c>
      <c r="S178" s="102">
        <v>0.8795</v>
      </c>
      <c r="T178" s="102">
        <v>0.8733</v>
      </c>
      <c r="U178" s="102">
        <v>0.8665</v>
      </c>
      <c r="V178" s="102">
        <v>0.8644</v>
      </c>
    </row>
    <row r="179" ht="15" spans="1:22">
      <c r="A179" s="98"/>
      <c r="B179" s="99">
        <v>17</v>
      </c>
      <c r="C179" s="102">
        <v>0.8097</v>
      </c>
      <c r="D179" s="102">
        <v>0.8007</v>
      </c>
      <c r="E179" s="102">
        <v>0.8093</v>
      </c>
      <c r="F179" s="102">
        <v>0.8141</v>
      </c>
      <c r="G179" s="102">
        <v>0.8177</v>
      </c>
      <c r="H179" s="102">
        <v>0.858</v>
      </c>
      <c r="I179" s="102">
        <v>0.8567</v>
      </c>
      <c r="J179" s="102">
        <v>0.8554</v>
      </c>
      <c r="K179" s="102">
        <v>0.8561</v>
      </c>
      <c r="L179" s="102">
        <v>0.8602</v>
      </c>
      <c r="M179" s="102">
        <v>0.8871</v>
      </c>
      <c r="N179" s="102">
        <v>0.8832</v>
      </c>
      <c r="O179" s="102">
        <v>0.8785</v>
      </c>
      <c r="P179" s="102">
        <v>0.8728</v>
      </c>
      <c r="Q179" s="102">
        <v>0.8656</v>
      </c>
      <c r="R179" s="102">
        <v>0.8806</v>
      </c>
      <c r="S179" s="102">
        <v>0.8758</v>
      </c>
      <c r="T179" s="102">
        <v>0.869</v>
      </c>
      <c r="U179" s="102">
        <v>0.8666</v>
      </c>
      <c r="V179" s="102">
        <v>0.8621</v>
      </c>
    </row>
    <row r="180" ht="15" spans="1:22">
      <c r="A180" s="98"/>
      <c r="B180" s="99">
        <v>18</v>
      </c>
      <c r="C180" s="102">
        <v>0.8218</v>
      </c>
      <c r="D180" s="102">
        <v>0.8076</v>
      </c>
      <c r="E180" s="102">
        <v>0.8194</v>
      </c>
      <c r="F180" s="102">
        <v>0.8251</v>
      </c>
      <c r="G180" s="102">
        <v>0.8285</v>
      </c>
      <c r="H180" s="102">
        <v>0.8729</v>
      </c>
      <c r="I180" s="102">
        <v>0.8684</v>
      </c>
      <c r="J180" s="102">
        <v>0.8692</v>
      </c>
      <c r="K180" s="102">
        <v>0.8702</v>
      </c>
      <c r="L180" s="102">
        <v>0.872</v>
      </c>
      <c r="M180" s="102">
        <v>0.8889</v>
      </c>
      <c r="N180" s="102">
        <v>0.8872</v>
      </c>
      <c r="O180" s="102">
        <v>0.8806</v>
      </c>
      <c r="P180" s="102">
        <v>0.8728</v>
      </c>
      <c r="Q180" s="102">
        <v>0.8686</v>
      </c>
      <c r="R180" s="102">
        <v>0.8837</v>
      </c>
      <c r="S180" s="102">
        <v>0.881</v>
      </c>
      <c r="T180" s="102">
        <v>0.8724</v>
      </c>
      <c r="U180" s="102">
        <v>0.8703</v>
      </c>
      <c r="V180" s="102">
        <v>0.8667</v>
      </c>
    </row>
    <row r="181" ht="15" spans="1:22">
      <c r="A181" s="98"/>
      <c r="B181" s="99">
        <v>19</v>
      </c>
      <c r="C181" s="102">
        <v>0.8297</v>
      </c>
      <c r="D181" s="102">
        <v>0.8189</v>
      </c>
      <c r="E181" s="102">
        <v>0.8285</v>
      </c>
      <c r="F181" s="102">
        <v>0.8325</v>
      </c>
      <c r="G181" s="102">
        <v>0.8373</v>
      </c>
      <c r="H181" s="102">
        <v>0.8826</v>
      </c>
      <c r="I181" s="102">
        <v>0.8776</v>
      </c>
      <c r="J181" s="102">
        <v>0.8763</v>
      </c>
      <c r="K181" s="102">
        <v>0.878</v>
      </c>
      <c r="L181" s="102">
        <v>0.8749</v>
      </c>
      <c r="M181" s="102">
        <v>0.8856</v>
      </c>
      <c r="N181" s="102">
        <v>0.8847</v>
      </c>
      <c r="O181" s="102">
        <v>0.8772</v>
      </c>
      <c r="P181" s="102">
        <v>0.8709</v>
      </c>
      <c r="Q181" s="102">
        <v>0.8672</v>
      </c>
      <c r="R181" s="102">
        <v>0.8841</v>
      </c>
      <c r="S181" s="102">
        <v>0.8801</v>
      </c>
      <c r="T181" s="102">
        <v>0.8742</v>
      </c>
      <c r="U181" s="102">
        <v>0.8709</v>
      </c>
      <c r="V181" s="102">
        <v>0.8704</v>
      </c>
    </row>
    <row r="182" ht="15" spans="1:22">
      <c r="A182" s="98"/>
      <c r="B182" s="99">
        <v>20</v>
      </c>
      <c r="C182" s="102">
        <v>0.8374</v>
      </c>
      <c r="D182" s="102">
        <v>0.8294</v>
      </c>
      <c r="E182" s="102">
        <v>0.837</v>
      </c>
      <c r="F182" s="102">
        <v>0.8422</v>
      </c>
      <c r="G182" s="102">
        <v>0.8467</v>
      </c>
      <c r="H182" s="102">
        <v>0.8883</v>
      </c>
      <c r="I182" s="102">
        <v>0.8845</v>
      </c>
      <c r="J182" s="102">
        <v>0.8841</v>
      </c>
      <c r="K182" s="102">
        <v>0.8798</v>
      </c>
      <c r="L182" s="102">
        <v>0.8733</v>
      </c>
      <c r="M182" s="102">
        <v>0.8832</v>
      </c>
      <c r="N182" s="102">
        <v>0.8819</v>
      </c>
      <c r="O182" s="102">
        <v>0.8726</v>
      </c>
      <c r="P182" s="102">
        <v>0.8701</v>
      </c>
      <c r="Q182" s="102">
        <v>0.8668</v>
      </c>
      <c r="R182" s="102">
        <v>0.8844</v>
      </c>
      <c r="S182" s="102">
        <v>0.88</v>
      </c>
      <c r="T182" s="102">
        <v>0.8756</v>
      </c>
      <c r="U182" s="102">
        <v>0.8737</v>
      </c>
      <c r="V182" s="102">
        <v>0.8734</v>
      </c>
    </row>
    <row r="183" ht="15" spans="1:22">
      <c r="A183" s="98"/>
      <c r="B183" s="99">
        <v>21</v>
      </c>
      <c r="C183" s="102">
        <v>0.8473</v>
      </c>
      <c r="D183" s="102">
        <v>0.8379</v>
      </c>
      <c r="E183" s="102">
        <v>0.8445</v>
      </c>
      <c r="F183" s="102">
        <v>0.8513</v>
      </c>
      <c r="G183" s="102">
        <v>0.8542</v>
      </c>
      <c r="H183" s="102">
        <v>0.8897</v>
      </c>
      <c r="I183" s="102">
        <v>0.8878</v>
      </c>
      <c r="J183" s="102">
        <v>0.8815</v>
      </c>
      <c r="K183" s="102">
        <v>0.8777</v>
      </c>
      <c r="L183" s="102">
        <v>0.8686</v>
      </c>
      <c r="M183" s="102">
        <v>0.8848</v>
      </c>
      <c r="N183" s="102">
        <v>0.8798</v>
      </c>
      <c r="O183" s="102">
        <v>0.8731</v>
      </c>
      <c r="P183" s="102">
        <v>0.8715</v>
      </c>
      <c r="Q183" s="102">
        <v>0.8689</v>
      </c>
      <c r="R183" s="102">
        <v>0.8853</v>
      </c>
      <c r="S183" s="102">
        <v>0.8815</v>
      </c>
      <c r="T183" s="102">
        <v>0.8763</v>
      </c>
      <c r="U183" s="102">
        <v>0.8773</v>
      </c>
      <c r="V183" s="102">
        <v>0.8752</v>
      </c>
    </row>
    <row r="184" ht="15" spans="1:22">
      <c r="A184" s="98"/>
      <c r="B184" s="99">
        <v>22</v>
      </c>
      <c r="C184" s="102">
        <v>0.8586</v>
      </c>
      <c r="D184" s="102">
        <v>0.8474</v>
      </c>
      <c r="E184" s="102">
        <v>0.8538</v>
      </c>
      <c r="F184" s="102">
        <v>0.8568</v>
      </c>
      <c r="G184" s="102">
        <v>0.8613</v>
      </c>
      <c r="H184" s="102">
        <v>0.8911</v>
      </c>
      <c r="I184" s="102">
        <v>0.8877</v>
      </c>
      <c r="J184" s="102">
        <v>0.8793</v>
      </c>
      <c r="K184" s="102">
        <v>0.8747</v>
      </c>
      <c r="L184" s="102">
        <v>0.8674</v>
      </c>
      <c r="M184" s="102">
        <v>0.8842</v>
      </c>
      <c r="N184" s="102">
        <v>0.88</v>
      </c>
      <c r="O184" s="102">
        <v>0.8726</v>
      </c>
      <c r="P184" s="102">
        <v>0.8715</v>
      </c>
      <c r="Q184" s="102">
        <v>0.8692</v>
      </c>
      <c r="R184" s="102">
        <v>0.889</v>
      </c>
      <c r="S184" s="102">
        <v>0.8855</v>
      </c>
      <c r="T184" s="102">
        <v>0.8809</v>
      </c>
      <c r="U184" s="102">
        <v>0.8802</v>
      </c>
      <c r="V184" s="102">
        <v>0.8805</v>
      </c>
    </row>
    <row r="185" ht="15" spans="1:22">
      <c r="A185" s="98"/>
      <c r="B185" s="99">
        <v>23</v>
      </c>
      <c r="C185" s="102">
        <v>0.8677</v>
      </c>
      <c r="D185" s="102">
        <v>0.8548</v>
      </c>
      <c r="E185" s="102">
        <v>0.8622</v>
      </c>
      <c r="F185" s="102">
        <v>0.8634</v>
      </c>
      <c r="G185" s="102">
        <v>0.8676</v>
      </c>
      <c r="H185" s="102">
        <v>0.8865</v>
      </c>
      <c r="I185" s="102">
        <v>0.8837</v>
      </c>
      <c r="J185" s="102">
        <v>0.8787</v>
      </c>
      <c r="K185" s="102">
        <v>0.8712</v>
      </c>
      <c r="L185" s="102">
        <v>0.8666</v>
      </c>
      <c r="M185" s="102">
        <v>0.8845</v>
      </c>
      <c r="N185" s="102">
        <v>0.8795</v>
      </c>
      <c r="O185" s="102">
        <v>0.8742</v>
      </c>
      <c r="P185" s="102">
        <v>0.871</v>
      </c>
      <c r="Q185" s="102">
        <v>0.8711</v>
      </c>
      <c r="R185" s="102">
        <v>0.8915</v>
      </c>
      <c r="S185" s="102">
        <v>0.8873</v>
      </c>
      <c r="T185" s="102">
        <v>0.8834</v>
      </c>
      <c r="U185" s="102">
        <v>0.8829</v>
      </c>
      <c r="V185" s="102">
        <v>0.884</v>
      </c>
    </row>
    <row r="186" ht="15" spans="1:22">
      <c r="A186" s="98"/>
      <c r="B186" s="99">
        <v>24</v>
      </c>
      <c r="C186" s="102">
        <v>0.8739</v>
      </c>
      <c r="D186" s="102">
        <v>0.8693</v>
      </c>
      <c r="E186" s="102">
        <v>0.8682</v>
      </c>
      <c r="F186" s="102">
        <v>0.8696</v>
      </c>
      <c r="G186" s="102">
        <v>0.8722</v>
      </c>
      <c r="H186" s="102">
        <v>0.8854</v>
      </c>
      <c r="I186" s="102">
        <v>0.8812</v>
      </c>
      <c r="J186" s="102">
        <v>0.8755</v>
      </c>
      <c r="K186" s="102">
        <v>0.8697</v>
      </c>
      <c r="L186" s="102">
        <v>0.8667</v>
      </c>
      <c r="M186" s="102">
        <v>0.8849</v>
      </c>
      <c r="N186" s="102">
        <v>0.8798</v>
      </c>
      <c r="O186" s="102">
        <v>0.8757</v>
      </c>
      <c r="P186" s="102">
        <v>0.8726</v>
      </c>
      <c r="Q186" s="102">
        <v>0.8722</v>
      </c>
      <c r="R186" s="102">
        <v>0.8953</v>
      </c>
      <c r="S186" s="102">
        <v>0.8912</v>
      </c>
      <c r="T186" s="102">
        <v>0.8875</v>
      </c>
      <c r="U186" s="102">
        <v>0.8862</v>
      </c>
      <c r="V186" s="102">
        <v>0.8871</v>
      </c>
    </row>
    <row r="187" ht="15" spans="1:22">
      <c r="A187" s="98"/>
      <c r="B187" s="99">
        <v>25</v>
      </c>
      <c r="C187" s="102">
        <v>0.8797</v>
      </c>
      <c r="D187" s="102">
        <v>0.8768</v>
      </c>
      <c r="E187" s="102">
        <v>0.8758</v>
      </c>
      <c r="F187" s="102">
        <v>0.8768</v>
      </c>
      <c r="G187" s="102">
        <v>0.8738</v>
      </c>
      <c r="H187" s="102">
        <v>0.8827</v>
      </c>
      <c r="I187" s="102">
        <v>0.8802</v>
      </c>
      <c r="J187" s="102">
        <v>0.8729</v>
      </c>
      <c r="K187" s="102">
        <v>0.8697</v>
      </c>
      <c r="L187" s="102">
        <v>0.8659</v>
      </c>
      <c r="M187" s="102">
        <v>0.8846</v>
      </c>
      <c r="N187" s="102">
        <v>0.8801</v>
      </c>
      <c r="O187" s="102">
        <v>0.876</v>
      </c>
      <c r="P187" s="102">
        <v>0.8769</v>
      </c>
      <c r="Q187" s="102">
        <v>0.874</v>
      </c>
      <c r="R187" s="102">
        <v>0.8994</v>
      </c>
      <c r="S187" s="102">
        <v>0.8937</v>
      </c>
      <c r="T187" s="102">
        <v>0.891</v>
      </c>
      <c r="U187" s="102">
        <v>0.8908</v>
      </c>
      <c r="V187" s="102">
        <v>0.8922</v>
      </c>
    </row>
    <row r="190" ht="15" spans="1:22">
      <c r="A190" s="98">
        <v>0.25</v>
      </c>
      <c r="B190" s="99">
        <v>6</v>
      </c>
      <c r="C190" s="102">
        <v>0.6886</v>
      </c>
      <c r="D190" s="102">
        <v>0.6834</v>
      </c>
      <c r="E190" s="102">
        <v>0.6734</v>
      </c>
      <c r="F190" s="102">
        <v>0.683</v>
      </c>
      <c r="G190" s="102">
        <v>0.6942</v>
      </c>
      <c r="H190" s="102">
        <v>0.7337</v>
      </c>
      <c r="I190" s="102">
        <v>0.742</v>
      </c>
      <c r="J190" s="102">
        <v>0.7449</v>
      </c>
      <c r="K190" s="102">
        <v>0.7473</v>
      </c>
      <c r="L190" s="102">
        <v>0.7444</v>
      </c>
      <c r="M190" s="102">
        <v>0.7517</v>
      </c>
      <c r="N190" s="102">
        <v>0.7579</v>
      </c>
      <c r="O190" s="102">
        <v>0.754</v>
      </c>
      <c r="P190" s="102">
        <v>0.7581</v>
      </c>
      <c r="Q190" s="102">
        <v>0.7548</v>
      </c>
      <c r="R190" s="102">
        <v>0.7597</v>
      </c>
      <c r="S190" s="102">
        <v>0.7639</v>
      </c>
      <c r="T190" s="102">
        <v>0.7604</v>
      </c>
      <c r="U190" s="102">
        <v>0.7616</v>
      </c>
      <c r="V190" s="102">
        <v>0.7633</v>
      </c>
    </row>
    <row r="191" ht="15" spans="1:22">
      <c r="A191" s="98"/>
      <c r="B191" s="99">
        <v>7</v>
      </c>
      <c r="C191" s="102">
        <v>0.711</v>
      </c>
      <c r="D191" s="102">
        <v>0.7132</v>
      </c>
      <c r="E191" s="102">
        <v>0.7172</v>
      </c>
      <c r="F191" s="102">
        <v>0.724</v>
      </c>
      <c r="G191" s="102">
        <v>0.7307</v>
      </c>
      <c r="H191" s="102">
        <v>0.7485</v>
      </c>
      <c r="I191" s="102">
        <v>0.7562</v>
      </c>
      <c r="J191" s="102">
        <v>0.7535</v>
      </c>
      <c r="K191" s="102">
        <v>0.7536</v>
      </c>
      <c r="L191" s="102">
        <v>0.7496</v>
      </c>
      <c r="M191" s="102">
        <v>0.7585</v>
      </c>
      <c r="N191" s="102">
        <v>0.7622</v>
      </c>
      <c r="O191" s="102">
        <v>0.758</v>
      </c>
      <c r="P191" s="102">
        <v>0.7618</v>
      </c>
      <c r="Q191" s="102">
        <v>0.7598</v>
      </c>
      <c r="R191" s="102">
        <v>0.7695</v>
      </c>
      <c r="S191" s="102">
        <v>0.7716</v>
      </c>
      <c r="T191" s="102">
        <v>0.7678</v>
      </c>
      <c r="U191" s="102">
        <v>0.7707</v>
      </c>
      <c r="V191" s="102">
        <v>0.7727</v>
      </c>
    </row>
    <row r="192" ht="15" spans="1:22">
      <c r="A192" s="98"/>
      <c r="B192" s="99">
        <v>8</v>
      </c>
      <c r="C192" s="102">
        <v>0.7343</v>
      </c>
      <c r="D192" s="102">
        <v>0.7414</v>
      </c>
      <c r="E192" s="102">
        <v>0.7448</v>
      </c>
      <c r="F192" s="102">
        <v>0.7476</v>
      </c>
      <c r="G192" s="102">
        <v>0.7458</v>
      </c>
      <c r="H192" s="102">
        <v>0.7542</v>
      </c>
      <c r="I192" s="102">
        <v>0.7595</v>
      </c>
      <c r="J192" s="102">
        <v>0.7544</v>
      </c>
      <c r="K192" s="102">
        <v>0.7562</v>
      </c>
      <c r="L192" s="102">
        <v>0.7543</v>
      </c>
      <c r="M192" s="102">
        <v>0.7652</v>
      </c>
      <c r="N192" s="102">
        <v>0.7678</v>
      </c>
      <c r="O192" s="102">
        <v>0.7628</v>
      </c>
      <c r="P192" s="102">
        <v>0.7672</v>
      </c>
      <c r="Q192" s="102">
        <v>0.7674</v>
      </c>
      <c r="R192" s="102">
        <v>0.7803</v>
      </c>
      <c r="S192" s="102">
        <v>0.7807</v>
      </c>
      <c r="T192" s="102">
        <v>0.7769</v>
      </c>
      <c r="U192" s="102">
        <v>0.7809</v>
      </c>
      <c r="V192" s="102">
        <v>0.784</v>
      </c>
    </row>
    <row r="193" ht="15" spans="1:22">
      <c r="A193" s="98"/>
      <c r="B193" s="99">
        <v>9</v>
      </c>
      <c r="C193" s="102">
        <v>0.7456</v>
      </c>
      <c r="D193" s="102">
        <v>0.7533</v>
      </c>
      <c r="E193" s="102">
        <v>0.7509</v>
      </c>
      <c r="F193" s="102">
        <v>0.7524</v>
      </c>
      <c r="G193" s="102">
        <v>0.7491</v>
      </c>
      <c r="H193" s="102">
        <v>0.7589</v>
      </c>
      <c r="I193" s="102">
        <v>0.7625</v>
      </c>
      <c r="J193" s="102">
        <v>0.7586</v>
      </c>
      <c r="K193" s="102">
        <v>0.7597</v>
      </c>
      <c r="L193" s="102">
        <v>0.7608</v>
      </c>
      <c r="M193" s="102">
        <v>0.7737</v>
      </c>
      <c r="N193" s="102">
        <v>0.7742</v>
      </c>
      <c r="O193" s="102">
        <v>0.7709</v>
      </c>
      <c r="P193" s="102">
        <v>0.7759</v>
      </c>
      <c r="Q193" s="102">
        <v>0.777</v>
      </c>
      <c r="R193" s="102">
        <v>0.792</v>
      </c>
      <c r="S193" s="102">
        <v>0.7912</v>
      </c>
      <c r="T193" s="102">
        <v>0.7898</v>
      </c>
      <c r="U193" s="102">
        <v>0.7982</v>
      </c>
      <c r="V193" s="102">
        <v>0.7996</v>
      </c>
    </row>
    <row r="194" ht="15" spans="1:22">
      <c r="A194" s="98"/>
      <c r="B194" s="99">
        <v>10</v>
      </c>
      <c r="C194" s="102">
        <v>0.7509</v>
      </c>
      <c r="D194" s="102">
        <v>0.7572</v>
      </c>
      <c r="E194" s="102">
        <v>0.7525</v>
      </c>
      <c r="F194" s="102">
        <v>0.7548</v>
      </c>
      <c r="G194" s="102">
        <v>0.7515</v>
      </c>
      <c r="H194" s="102">
        <v>0.765</v>
      </c>
      <c r="I194" s="102">
        <v>0.7666</v>
      </c>
      <c r="J194" s="102">
        <v>0.7628</v>
      </c>
      <c r="K194" s="102">
        <v>0.7662</v>
      </c>
      <c r="L194" s="102">
        <v>0.7672</v>
      </c>
      <c r="M194" s="102">
        <v>0.7845</v>
      </c>
      <c r="N194" s="102">
        <v>0.7847</v>
      </c>
      <c r="O194" s="102">
        <v>0.7803</v>
      </c>
      <c r="P194" s="102">
        <v>0.785</v>
      </c>
      <c r="Q194" s="102">
        <v>0.7911</v>
      </c>
      <c r="R194" s="102">
        <v>0.8075</v>
      </c>
      <c r="S194" s="102">
        <v>0.8054</v>
      </c>
      <c r="T194" s="102">
        <v>0.8057</v>
      </c>
      <c r="U194" s="102">
        <v>0.8096</v>
      </c>
      <c r="V194" s="102">
        <v>0.8151</v>
      </c>
    </row>
    <row r="195" ht="15" spans="1:22">
      <c r="A195" s="98"/>
      <c r="B195" s="99">
        <v>11</v>
      </c>
      <c r="C195" s="102">
        <v>0.7571</v>
      </c>
      <c r="D195" s="102">
        <v>0.7613</v>
      </c>
      <c r="E195" s="102">
        <v>0.7574</v>
      </c>
      <c r="F195" s="102">
        <v>0.7591</v>
      </c>
      <c r="G195" s="102">
        <v>0.756</v>
      </c>
      <c r="H195" s="102">
        <v>0.7727</v>
      </c>
      <c r="I195" s="102">
        <v>0.7754</v>
      </c>
      <c r="J195" s="102">
        <v>0.7701</v>
      </c>
      <c r="K195" s="102">
        <v>0.7731</v>
      </c>
      <c r="L195" s="102">
        <v>0.7749</v>
      </c>
      <c r="M195" s="102">
        <v>0.7963</v>
      </c>
      <c r="N195" s="102">
        <v>0.7951</v>
      </c>
      <c r="O195" s="102">
        <v>0.7912</v>
      </c>
      <c r="P195" s="102">
        <v>0.7988</v>
      </c>
      <c r="Q195" s="102">
        <v>0.8041</v>
      </c>
      <c r="R195" s="102">
        <v>0.8217</v>
      </c>
      <c r="S195" s="102">
        <v>0.824</v>
      </c>
      <c r="T195" s="102">
        <v>0.8201</v>
      </c>
      <c r="U195" s="102">
        <v>0.8239</v>
      </c>
      <c r="V195" s="102">
        <v>0.8281</v>
      </c>
    </row>
    <row r="196" ht="15" spans="1:22">
      <c r="A196" s="98"/>
      <c r="B196" s="99">
        <v>12</v>
      </c>
      <c r="C196" s="102">
        <v>0.7629</v>
      </c>
      <c r="D196" s="102">
        <v>0.7637</v>
      </c>
      <c r="E196" s="102">
        <v>0.7588</v>
      </c>
      <c r="F196" s="102">
        <v>0.7623</v>
      </c>
      <c r="G196" s="102">
        <v>0.762</v>
      </c>
      <c r="H196" s="102">
        <v>0.7826</v>
      </c>
      <c r="I196" s="102">
        <v>0.7817</v>
      </c>
      <c r="J196" s="102">
        <v>0.7767</v>
      </c>
      <c r="K196" s="102">
        <v>0.7804</v>
      </c>
      <c r="L196" s="102">
        <v>0.7871</v>
      </c>
      <c r="M196" s="102">
        <v>0.8072</v>
      </c>
      <c r="N196" s="102">
        <v>0.8053</v>
      </c>
      <c r="O196" s="102">
        <v>0.8061</v>
      </c>
      <c r="P196" s="102">
        <v>0.8124</v>
      </c>
      <c r="Q196" s="102">
        <v>0.8155</v>
      </c>
      <c r="R196" s="102">
        <v>0.8355</v>
      </c>
      <c r="S196" s="102">
        <v>0.8371</v>
      </c>
      <c r="T196" s="102">
        <v>0.8341</v>
      </c>
      <c r="U196" s="102">
        <v>0.8395</v>
      </c>
      <c r="V196" s="102">
        <v>0.8422</v>
      </c>
    </row>
    <row r="197" ht="15" spans="1:22">
      <c r="A197" s="98"/>
      <c r="B197" s="99">
        <v>13</v>
      </c>
      <c r="C197" s="102">
        <v>0.7666</v>
      </c>
      <c r="D197" s="102">
        <v>0.7683</v>
      </c>
      <c r="E197" s="102">
        <v>0.7621</v>
      </c>
      <c r="F197" s="102">
        <v>0.7657</v>
      </c>
      <c r="G197" s="102">
        <v>0.7666</v>
      </c>
      <c r="H197" s="102">
        <v>0.7899</v>
      </c>
      <c r="I197" s="102">
        <v>0.7886</v>
      </c>
      <c r="J197" s="102">
        <v>0.784</v>
      </c>
      <c r="K197" s="102">
        <v>0.7899</v>
      </c>
      <c r="L197" s="102">
        <v>0.7969</v>
      </c>
      <c r="M197" s="102">
        <v>0.8183</v>
      </c>
      <c r="N197" s="102">
        <v>0.8158</v>
      </c>
      <c r="O197" s="102">
        <v>0.819</v>
      </c>
      <c r="P197" s="102">
        <v>0.8226</v>
      </c>
      <c r="Q197" s="102">
        <v>0.8255</v>
      </c>
      <c r="R197" s="102">
        <v>0.8511</v>
      </c>
      <c r="S197" s="102">
        <v>0.849</v>
      </c>
      <c r="T197" s="102">
        <v>0.8475</v>
      </c>
      <c r="U197" s="102">
        <v>0.8501</v>
      </c>
      <c r="V197" s="102">
        <v>0.8533</v>
      </c>
    </row>
    <row r="198" ht="15" spans="1:22">
      <c r="A198" s="98"/>
      <c r="B198" s="99">
        <v>14</v>
      </c>
      <c r="C198" s="102">
        <v>0.7716</v>
      </c>
      <c r="D198" s="102">
        <v>0.7728</v>
      </c>
      <c r="E198" s="102">
        <v>0.7664</v>
      </c>
      <c r="F198" s="102">
        <v>0.7701</v>
      </c>
      <c r="G198" s="102">
        <v>0.7719</v>
      </c>
      <c r="H198" s="102">
        <v>0.7985</v>
      </c>
      <c r="I198" s="102">
        <v>0.7962</v>
      </c>
      <c r="J198" s="102">
        <v>0.7946</v>
      </c>
      <c r="K198" s="102">
        <v>0.8029</v>
      </c>
      <c r="L198" s="102">
        <v>0.8068</v>
      </c>
      <c r="M198" s="102">
        <v>0.8265</v>
      </c>
      <c r="N198" s="102">
        <v>0.8304</v>
      </c>
      <c r="O198" s="102">
        <v>0.8304</v>
      </c>
      <c r="P198" s="102">
        <v>0.8334</v>
      </c>
      <c r="Q198" s="102">
        <v>0.8384</v>
      </c>
      <c r="R198" s="102">
        <v>0.8649</v>
      </c>
      <c r="S198" s="102">
        <v>0.861</v>
      </c>
      <c r="T198" s="102">
        <v>0.8601</v>
      </c>
      <c r="U198" s="102">
        <v>0.8626</v>
      </c>
      <c r="V198" s="102">
        <v>0.866</v>
      </c>
    </row>
    <row r="199" ht="15" spans="1:22">
      <c r="A199" s="98"/>
      <c r="B199" s="99">
        <v>15</v>
      </c>
      <c r="C199" s="102">
        <v>0.7761</v>
      </c>
      <c r="D199" s="102">
        <v>0.7765</v>
      </c>
      <c r="E199" s="102">
        <v>0.7712</v>
      </c>
      <c r="F199" s="102">
        <v>0.777</v>
      </c>
      <c r="G199" s="102">
        <v>0.7776</v>
      </c>
      <c r="H199" s="102">
        <v>0.807</v>
      </c>
      <c r="I199" s="102">
        <v>0.8041</v>
      </c>
      <c r="J199" s="102">
        <v>0.8078</v>
      </c>
      <c r="K199" s="102">
        <v>0.81</v>
      </c>
      <c r="L199" s="102">
        <v>0.8143</v>
      </c>
      <c r="M199" s="102">
        <v>0.8415</v>
      </c>
      <c r="N199" s="102">
        <v>0.8426</v>
      </c>
      <c r="O199" s="102">
        <v>0.8405</v>
      </c>
      <c r="P199" s="102">
        <v>0.8447</v>
      </c>
      <c r="Q199" s="102">
        <v>0.8477</v>
      </c>
      <c r="R199" s="102">
        <v>0.8773</v>
      </c>
      <c r="S199" s="102">
        <v>0.8752</v>
      </c>
      <c r="T199" s="102">
        <v>0.87</v>
      </c>
      <c r="U199" s="102">
        <v>0.8725</v>
      </c>
      <c r="V199" s="102">
        <v>0.8732</v>
      </c>
    </row>
    <row r="200" ht="15" spans="1:22">
      <c r="A200" s="98"/>
      <c r="B200" s="99">
        <v>16</v>
      </c>
      <c r="C200" s="102">
        <v>0.7816</v>
      </c>
      <c r="D200" s="102">
        <v>0.7815</v>
      </c>
      <c r="E200" s="102">
        <v>0.7762</v>
      </c>
      <c r="F200" s="102">
        <v>0.7819</v>
      </c>
      <c r="G200" s="102">
        <v>0.7879</v>
      </c>
      <c r="H200" s="102">
        <v>0.816</v>
      </c>
      <c r="I200" s="102">
        <v>0.8123</v>
      </c>
      <c r="J200" s="102">
        <v>0.8153</v>
      </c>
      <c r="K200" s="102">
        <v>0.8198</v>
      </c>
      <c r="L200" s="102">
        <v>0.8242</v>
      </c>
      <c r="M200" s="102">
        <v>0.8561</v>
      </c>
      <c r="N200" s="102">
        <v>0.8539</v>
      </c>
      <c r="O200" s="102">
        <v>0.8512</v>
      </c>
      <c r="P200" s="102">
        <v>0.8546</v>
      </c>
      <c r="Q200" s="102">
        <v>0.8572</v>
      </c>
      <c r="R200" s="102">
        <v>0.8845</v>
      </c>
      <c r="S200" s="102">
        <v>0.8833</v>
      </c>
      <c r="T200" s="102">
        <v>0.8801</v>
      </c>
      <c r="U200" s="102">
        <v>0.8762</v>
      </c>
      <c r="V200" s="102">
        <v>0.8691</v>
      </c>
    </row>
    <row r="201" ht="15" spans="1:22">
      <c r="A201" s="98"/>
      <c r="B201" s="99">
        <v>17</v>
      </c>
      <c r="C201" s="102">
        <v>0.7874</v>
      </c>
      <c r="D201" s="102">
        <v>0.7867</v>
      </c>
      <c r="E201" s="102">
        <v>0.7838</v>
      </c>
      <c r="F201" s="102">
        <v>0.7876</v>
      </c>
      <c r="G201" s="102">
        <v>0.7933</v>
      </c>
      <c r="H201" s="102">
        <v>0.8244</v>
      </c>
      <c r="I201" s="102">
        <v>0.8274</v>
      </c>
      <c r="J201" s="102">
        <v>0.8256</v>
      </c>
      <c r="K201" s="102">
        <v>0.8269</v>
      </c>
      <c r="L201" s="102">
        <v>0.8318</v>
      </c>
      <c r="M201" s="102">
        <v>0.8649</v>
      </c>
      <c r="N201" s="102">
        <v>0.8646</v>
      </c>
      <c r="O201" s="102">
        <v>0.8628</v>
      </c>
      <c r="P201" s="102">
        <v>0.8636</v>
      </c>
      <c r="Q201" s="102">
        <v>0.867</v>
      </c>
      <c r="R201" s="102">
        <v>0.8863</v>
      </c>
      <c r="S201" s="102">
        <v>0.8841</v>
      </c>
      <c r="T201" s="102">
        <v>0.8782</v>
      </c>
      <c r="U201" s="102">
        <v>0.8723</v>
      </c>
      <c r="V201" s="102">
        <v>0.8665</v>
      </c>
    </row>
    <row r="202" ht="15" spans="1:22">
      <c r="A202" s="98"/>
      <c r="B202" s="99">
        <v>18</v>
      </c>
      <c r="C202" s="102">
        <v>0.7927</v>
      </c>
      <c r="D202" s="102">
        <v>0.7922</v>
      </c>
      <c r="E202" s="102">
        <v>0.7894</v>
      </c>
      <c r="F202" s="102">
        <v>0.7978</v>
      </c>
      <c r="G202" s="102">
        <v>0.8015</v>
      </c>
      <c r="H202" s="102">
        <v>0.8332</v>
      </c>
      <c r="I202" s="102">
        <v>0.8347</v>
      </c>
      <c r="J202" s="102">
        <v>0.8334</v>
      </c>
      <c r="K202" s="102">
        <v>0.8384</v>
      </c>
      <c r="L202" s="102">
        <v>0.8412</v>
      </c>
      <c r="M202" s="102">
        <v>0.8772</v>
      </c>
      <c r="N202" s="102">
        <v>0.8721</v>
      </c>
      <c r="O202" s="102">
        <v>0.8714</v>
      </c>
      <c r="P202" s="102">
        <v>0.8722</v>
      </c>
      <c r="Q202" s="102">
        <v>0.8724</v>
      </c>
      <c r="R202" s="102">
        <v>0.8844</v>
      </c>
      <c r="S202" s="102">
        <v>0.8814</v>
      </c>
      <c r="T202" s="102">
        <v>0.8764</v>
      </c>
      <c r="U202" s="102">
        <v>0.8695</v>
      </c>
      <c r="V202" s="102">
        <v>0.8636</v>
      </c>
    </row>
    <row r="203" ht="15" spans="1:22">
      <c r="A203" s="98"/>
      <c r="B203" s="99">
        <v>19</v>
      </c>
      <c r="C203" s="102">
        <v>0.8008</v>
      </c>
      <c r="D203" s="102">
        <v>0.7978</v>
      </c>
      <c r="E203" s="102">
        <v>0.7957</v>
      </c>
      <c r="F203" s="102">
        <v>0.8045</v>
      </c>
      <c r="G203" s="102">
        <v>0.8076</v>
      </c>
      <c r="H203" s="102">
        <v>0.8484</v>
      </c>
      <c r="I203" s="102">
        <v>0.8429</v>
      </c>
      <c r="J203" s="102">
        <v>0.8422</v>
      </c>
      <c r="K203" s="102">
        <v>0.8472</v>
      </c>
      <c r="L203" s="102">
        <v>0.8503</v>
      </c>
      <c r="M203" s="102">
        <v>0.8826</v>
      </c>
      <c r="N203" s="102">
        <v>0.881</v>
      </c>
      <c r="O203" s="102">
        <v>0.8782</v>
      </c>
      <c r="P203" s="102">
        <v>0.8749</v>
      </c>
      <c r="Q203" s="102">
        <v>0.8687</v>
      </c>
      <c r="R203" s="102">
        <v>0.8812</v>
      </c>
      <c r="S203" s="102">
        <v>0.881</v>
      </c>
      <c r="T203" s="102">
        <v>0.8728</v>
      </c>
      <c r="U203" s="102">
        <v>0.8663</v>
      </c>
      <c r="V203" s="102">
        <v>0.8618</v>
      </c>
    </row>
    <row r="204" ht="15" spans="1:22">
      <c r="A204" s="98"/>
      <c r="B204" s="99">
        <v>20</v>
      </c>
      <c r="C204" s="102">
        <v>0.8077</v>
      </c>
      <c r="D204" s="102">
        <v>0.804</v>
      </c>
      <c r="E204" s="102">
        <v>0.8049</v>
      </c>
      <c r="F204" s="102">
        <v>0.8104</v>
      </c>
      <c r="G204" s="102">
        <v>0.8147</v>
      </c>
      <c r="H204" s="102">
        <v>0.8556</v>
      </c>
      <c r="I204" s="102">
        <v>0.8509</v>
      </c>
      <c r="J204" s="102">
        <v>0.8501</v>
      </c>
      <c r="K204" s="102">
        <v>0.8527</v>
      </c>
      <c r="L204" s="102">
        <v>0.8571</v>
      </c>
      <c r="M204" s="102">
        <v>0.8859</v>
      </c>
      <c r="N204" s="102">
        <v>0.8841</v>
      </c>
      <c r="O204" s="102">
        <v>0.8789</v>
      </c>
      <c r="P204" s="102">
        <v>0.8755</v>
      </c>
      <c r="Q204" s="102">
        <v>0.8677</v>
      </c>
      <c r="R204" s="102">
        <v>0.8803</v>
      </c>
      <c r="S204" s="102">
        <v>0.8783</v>
      </c>
      <c r="T204" s="102">
        <v>0.8685</v>
      </c>
      <c r="U204" s="102">
        <v>0.8649</v>
      </c>
      <c r="V204" s="102">
        <v>0.8628</v>
      </c>
    </row>
    <row r="205" ht="15" spans="1:22">
      <c r="A205" s="98"/>
      <c r="B205" s="99">
        <v>21</v>
      </c>
      <c r="C205" s="102">
        <v>0.818</v>
      </c>
      <c r="D205" s="102">
        <v>0.8141</v>
      </c>
      <c r="E205" s="102">
        <v>0.8167</v>
      </c>
      <c r="F205" s="102">
        <v>0.8191</v>
      </c>
      <c r="G205" s="102">
        <v>0.826</v>
      </c>
      <c r="H205" s="102">
        <v>0.8686</v>
      </c>
      <c r="I205" s="102">
        <v>0.8632</v>
      </c>
      <c r="J205" s="102">
        <v>0.8641</v>
      </c>
      <c r="K205" s="102">
        <v>0.8644</v>
      </c>
      <c r="L205" s="102">
        <v>0.8674</v>
      </c>
      <c r="M205" s="102">
        <v>0.889</v>
      </c>
      <c r="N205" s="102">
        <v>0.8871</v>
      </c>
      <c r="O205" s="102">
        <v>0.8793</v>
      </c>
      <c r="P205" s="102">
        <v>0.8765</v>
      </c>
      <c r="Q205" s="102">
        <v>0.868</v>
      </c>
      <c r="R205" s="102">
        <v>0.8815</v>
      </c>
      <c r="S205" s="102">
        <v>0.8795</v>
      </c>
      <c r="T205" s="102">
        <v>0.8709</v>
      </c>
      <c r="U205" s="102">
        <v>0.8699</v>
      </c>
      <c r="V205" s="102">
        <v>0.8651</v>
      </c>
    </row>
    <row r="206" ht="15" spans="1:22">
      <c r="A206" s="98"/>
      <c r="B206" s="99">
        <v>22</v>
      </c>
      <c r="C206" s="102">
        <v>0.8245</v>
      </c>
      <c r="D206" s="102">
        <v>0.8257</v>
      </c>
      <c r="E206" s="102">
        <v>0.8223</v>
      </c>
      <c r="F206" s="102">
        <v>0.8292</v>
      </c>
      <c r="G206" s="102">
        <v>0.8322</v>
      </c>
      <c r="H206" s="102">
        <v>0.8765</v>
      </c>
      <c r="I206" s="102">
        <v>0.8734</v>
      </c>
      <c r="J206" s="102">
        <v>0.8695</v>
      </c>
      <c r="K206" s="102">
        <v>0.8715</v>
      </c>
      <c r="L206" s="102">
        <v>0.8732</v>
      </c>
      <c r="M206" s="102">
        <v>0.8871</v>
      </c>
      <c r="N206" s="102">
        <v>0.8846</v>
      </c>
      <c r="O206" s="102">
        <v>0.8772</v>
      </c>
      <c r="P206" s="102">
        <v>0.8718</v>
      </c>
      <c r="Q206" s="102">
        <v>0.8663</v>
      </c>
      <c r="R206" s="102">
        <v>0.8831</v>
      </c>
      <c r="S206" s="102">
        <v>0.8772</v>
      </c>
      <c r="T206" s="102">
        <v>0.8734</v>
      </c>
      <c r="U206" s="102">
        <v>0.8701</v>
      </c>
      <c r="V206" s="102">
        <v>0.8663</v>
      </c>
    </row>
    <row r="207" ht="15" spans="1:22">
      <c r="A207" s="98"/>
      <c r="B207" s="99">
        <v>23</v>
      </c>
      <c r="C207" s="102">
        <v>0.8314</v>
      </c>
      <c r="D207" s="102">
        <v>0.831</v>
      </c>
      <c r="E207" s="102">
        <v>0.8293</v>
      </c>
      <c r="F207" s="102">
        <v>0.8354</v>
      </c>
      <c r="G207" s="102">
        <v>0.8393</v>
      </c>
      <c r="H207" s="102">
        <v>0.8821</v>
      </c>
      <c r="I207" s="102">
        <v>0.8793</v>
      </c>
      <c r="J207" s="102">
        <v>0.8775</v>
      </c>
      <c r="K207" s="102">
        <v>0.8795</v>
      </c>
      <c r="L207" s="102">
        <v>0.8727</v>
      </c>
      <c r="M207" s="102">
        <v>0.8839</v>
      </c>
      <c r="N207" s="102">
        <v>0.881</v>
      </c>
      <c r="O207" s="102">
        <v>0.8745</v>
      </c>
      <c r="P207" s="102">
        <v>0.8716</v>
      </c>
      <c r="Q207" s="102">
        <v>0.8667</v>
      </c>
      <c r="R207" s="102">
        <v>0.8834</v>
      </c>
      <c r="S207" s="102">
        <v>0.8799</v>
      </c>
      <c r="T207" s="102">
        <v>0.8729</v>
      </c>
      <c r="U207" s="102">
        <v>0.8711</v>
      </c>
      <c r="V207" s="102">
        <v>0.8695</v>
      </c>
    </row>
    <row r="208" ht="15" spans="1:22">
      <c r="A208" s="98"/>
      <c r="B208" s="99">
        <v>24</v>
      </c>
      <c r="C208" s="102">
        <v>0.8378</v>
      </c>
      <c r="D208" s="102">
        <v>0.8383</v>
      </c>
      <c r="E208" s="102">
        <v>0.839</v>
      </c>
      <c r="F208" s="102">
        <v>0.8409</v>
      </c>
      <c r="G208" s="102">
        <v>0.8457</v>
      </c>
      <c r="H208" s="102">
        <v>0.8873</v>
      </c>
      <c r="I208" s="102">
        <v>0.8849</v>
      </c>
      <c r="J208" s="102">
        <v>0.8818</v>
      </c>
      <c r="K208" s="102">
        <v>0.879</v>
      </c>
      <c r="L208" s="102">
        <v>0.8732</v>
      </c>
      <c r="M208" s="102">
        <v>0.8854</v>
      </c>
      <c r="N208" s="102">
        <v>0.8823</v>
      </c>
      <c r="O208" s="102">
        <v>0.8729</v>
      </c>
      <c r="P208" s="102">
        <v>0.8707</v>
      </c>
      <c r="Q208" s="102">
        <v>0.8669</v>
      </c>
      <c r="R208" s="102">
        <v>0.8837</v>
      </c>
      <c r="S208" s="102">
        <v>0.88</v>
      </c>
      <c r="T208" s="102">
        <v>0.874</v>
      </c>
      <c r="U208" s="102">
        <v>0.8722</v>
      </c>
      <c r="V208" s="102">
        <v>0.8713</v>
      </c>
    </row>
    <row r="209" ht="15" spans="1:22">
      <c r="A209" s="98"/>
      <c r="B209" s="99">
        <v>25</v>
      </c>
      <c r="C209" s="102">
        <v>0.8442</v>
      </c>
      <c r="D209" s="102">
        <v>0.8448</v>
      </c>
      <c r="E209" s="102">
        <v>0.8431</v>
      </c>
      <c r="F209" s="102">
        <v>0.8479</v>
      </c>
      <c r="G209" s="102">
        <v>0.8505</v>
      </c>
      <c r="H209" s="102">
        <v>0.8887</v>
      </c>
      <c r="I209" s="102">
        <v>0.8873</v>
      </c>
      <c r="J209" s="102">
        <v>0.8831</v>
      </c>
      <c r="K209" s="102">
        <v>0.8772</v>
      </c>
      <c r="L209" s="102">
        <v>0.8692</v>
      </c>
      <c r="M209" s="102">
        <v>0.8841</v>
      </c>
      <c r="N209" s="102">
        <v>0.8801</v>
      </c>
      <c r="O209" s="102">
        <v>0.8718</v>
      </c>
      <c r="P209" s="102">
        <v>0.87</v>
      </c>
      <c r="Q209" s="102">
        <v>0.8656</v>
      </c>
      <c r="R209" s="102">
        <v>0.8851</v>
      </c>
      <c r="S209" s="102">
        <v>0.8812</v>
      </c>
      <c r="T209" s="102">
        <v>0.8742</v>
      </c>
      <c r="U209" s="102">
        <v>0.8756</v>
      </c>
      <c r="V209" s="102">
        <v>0.8742</v>
      </c>
    </row>
    <row r="212" ht="15" spans="1:22">
      <c r="A212" s="98">
        <v>0.2</v>
      </c>
      <c r="B212" s="99">
        <v>6</v>
      </c>
      <c r="C212" s="102">
        <v>0.6564</v>
      </c>
      <c r="D212" s="102">
        <v>0.6506</v>
      </c>
      <c r="E212" s="102">
        <v>0.6341</v>
      </c>
      <c r="F212" s="102">
        <v>0.6182</v>
      </c>
      <c r="G212" s="102">
        <v>0.6322</v>
      </c>
      <c r="H212" s="102">
        <v>0.6953</v>
      </c>
      <c r="I212" s="102">
        <v>0.6912</v>
      </c>
      <c r="J212" s="102">
        <v>0.6924</v>
      </c>
      <c r="K212" s="102">
        <v>0.7006</v>
      </c>
      <c r="L212" s="102">
        <v>0.7111</v>
      </c>
      <c r="M212" s="102">
        <v>0.7334</v>
      </c>
      <c r="N212" s="102">
        <v>0.7418</v>
      </c>
      <c r="O212" s="102">
        <v>0.7453</v>
      </c>
      <c r="P212" s="102">
        <v>0.7478</v>
      </c>
      <c r="Q212" s="102">
        <v>0.7451</v>
      </c>
      <c r="R212" s="102">
        <v>0.7488</v>
      </c>
      <c r="S212" s="102">
        <v>0.759</v>
      </c>
      <c r="T212" s="102">
        <v>0.7545</v>
      </c>
      <c r="U212" s="102">
        <v>0.7558</v>
      </c>
      <c r="V212" s="102">
        <v>0.7532</v>
      </c>
    </row>
    <row r="213" ht="15" spans="1:22">
      <c r="A213" s="98"/>
      <c r="B213" s="99">
        <v>7</v>
      </c>
      <c r="C213" s="102">
        <v>0.6788</v>
      </c>
      <c r="D213" s="102">
        <v>0.6738</v>
      </c>
      <c r="E213" s="102">
        <v>0.6563</v>
      </c>
      <c r="F213" s="102">
        <v>0.6635</v>
      </c>
      <c r="G213" s="102">
        <v>0.6762</v>
      </c>
      <c r="H213" s="102">
        <v>0.723</v>
      </c>
      <c r="I213" s="102">
        <v>0.7292</v>
      </c>
      <c r="J213" s="102">
        <v>0.7335</v>
      </c>
      <c r="K213" s="102">
        <v>0.7384</v>
      </c>
      <c r="L213" s="102">
        <v>0.7407</v>
      </c>
      <c r="M213" s="102">
        <v>0.7478</v>
      </c>
      <c r="N213" s="102">
        <v>0.7561</v>
      </c>
      <c r="O213" s="102">
        <v>0.7539</v>
      </c>
      <c r="P213" s="102">
        <v>0.7546</v>
      </c>
      <c r="Q213" s="102">
        <v>0.7525</v>
      </c>
      <c r="R213" s="102">
        <v>0.7567</v>
      </c>
      <c r="S213" s="102">
        <v>0.7632</v>
      </c>
      <c r="T213" s="102">
        <v>0.7581</v>
      </c>
      <c r="U213" s="102">
        <v>0.7595</v>
      </c>
      <c r="V213" s="102">
        <v>0.7585</v>
      </c>
    </row>
    <row r="214" ht="15" spans="1:22">
      <c r="A214" s="98"/>
      <c r="B214" s="99">
        <v>8</v>
      </c>
      <c r="C214" s="102">
        <v>0.6974</v>
      </c>
      <c r="D214" s="102">
        <v>0.6911</v>
      </c>
      <c r="E214" s="102">
        <v>0.6922</v>
      </c>
      <c r="F214" s="102">
        <v>0.7013</v>
      </c>
      <c r="G214" s="102">
        <v>0.7113</v>
      </c>
      <c r="H214" s="102">
        <v>0.7398</v>
      </c>
      <c r="I214" s="102">
        <v>0.7501</v>
      </c>
      <c r="J214" s="102">
        <v>0.7504</v>
      </c>
      <c r="K214" s="102">
        <v>0.7513</v>
      </c>
      <c r="L214" s="102">
        <v>0.7482</v>
      </c>
      <c r="M214" s="102">
        <v>0.7537</v>
      </c>
      <c r="N214" s="102">
        <v>0.7606</v>
      </c>
      <c r="O214" s="102">
        <v>0.7554</v>
      </c>
      <c r="P214" s="102">
        <v>0.7571</v>
      </c>
      <c r="Q214" s="102">
        <v>0.7557</v>
      </c>
      <c r="R214" s="102">
        <v>0.7635</v>
      </c>
      <c r="S214" s="102">
        <v>0.767</v>
      </c>
      <c r="T214" s="102">
        <v>0.762</v>
      </c>
      <c r="U214" s="102">
        <v>0.7645</v>
      </c>
      <c r="V214" s="102">
        <v>0.7666</v>
      </c>
    </row>
    <row r="215" ht="15" spans="1:22">
      <c r="A215" s="98"/>
      <c r="B215" s="99">
        <v>9</v>
      </c>
      <c r="C215" s="102">
        <v>0.7153</v>
      </c>
      <c r="D215" s="102">
        <v>0.7204</v>
      </c>
      <c r="E215" s="102">
        <v>0.7244</v>
      </c>
      <c r="F215" s="102">
        <v>0.7306</v>
      </c>
      <c r="G215" s="102">
        <v>0.7356</v>
      </c>
      <c r="H215" s="102">
        <v>0.7481</v>
      </c>
      <c r="I215" s="102">
        <v>0.7561</v>
      </c>
      <c r="J215" s="102">
        <v>0.7524</v>
      </c>
      <c r="K215" s="102">
        <v>0.7533</v>
      </c>
      <c r="L215" s="102">
        <v>0.7504</v>
      </c>
      <c r="M215" s="102">
        <v>0.7586</v>
      </c>
      <c r="N215" s="102">
        <v>0.7632</v>
      </c>
      <c r="O215" s="102">
        <v>0.7598</v>
      </c>
      <c r="P215" s="102">
        <v>0.7605</v>
      </c>
      <c r="Q215" s="102">
        <v>0.7609</v>
      </c>
      <c r="R215" s="102">
        <v>0.7729</v>
      </c>
      <c r="S215" s="102">
        <v>0.7728</v>
      </c>
      <c r="T215" s="102">
        <v>0.7697</v>
      </c>
      <c r="U215" s="102">
        <v>0.7733</v>
      </c>
      <c r="V215" s="102">
        <v>0.774</v>
      </c>
    </row>
    <row r="216" ht="15" spans="1:22">
      <c r="A216" s="98"/>
      <c r="B216" s="99">
        <v>10</v>
      </c>
      <c r="C216" s="102">
        <v>0.7346</v>
      </c>
      <c r="D216" s="102">
        <v>0.7416</v>
      </c>
      <c r="E216" s="102">
        <v>0.7448</v>
      </c>
      <c r="F216" s="102">
        <v>0.7467</v>
      </c>
      <c r="G216" s="102">
        <v>0.7455</v>
      </c>
      <c r="H216" s="102">
        <v>0.7529</v>
      </c>
      <c r="I216" s="102">
        <v>0.7605</v>
      </c>
      <c r="J216" s="102">
        <v>0.7557</v>
      </c>
      <c r="K216" s="102">
        <v>0.7574</v>
      </c>
      <c r="L216" s="102">
        <v>0.7557</v>
      </c>
      <c r="M216" s="102">
        <v>0.7658</v>
      </c>
      <c r="N216" s="102">
        <v>0.7675</v>
      </c>
      <c r="O216" s="102">
        <v>0.7642</v>
      </c>
      <c r="P216" s="102">
        <v>0.7671</v>
      </c>
      <c r="Q216" s="102">
        <v>0.7688</v>
      </c>
      <c r="R216" s="102">
        <v>0.782</v>
      </c>
      <c r="S216" s="102">
        <v>0.7816</v>
      </c>
      <c r="T216" s="102">
        <v>0.778</v>
      </c>
      <c r="U216" s="102">
        <v>0.7816</v>
      </c>
      <c r="V216" s="102">
        <v>0.7845</v>
      </c>
    </row>
    <row r="217" ht="15" spans="1:22">
      <c r="A217" s="98"/>
      <c r="B217" s="99">
        <v>11</v>
      </c>
      <c r="C217" s="102">
        <v>0.7443</v>
      </c>
      <c r="D217" s="102">
        <v>0.7516</v>
      </c>
      <c r="E217" s="102">
        <v>0.7507</v>
      </c>
      <c r="F217" s="102">
        <v>0.7528</v>
      </c>
      <c r="G217" s="102">
        <v>0.7481</v>
      </c>
      <c r="H217" s="102">
        <v>0.7572</v>
      </c>
      <c r="I217" s="102">
        <v>0.7624</v>
      </c>
      <c r="J217" s="102">
        <v>0.7574</v>
      </c>
      <c r="K217" s="102">
        <v>0.76</v>
      </c>
      <c r="L217" s="102">
        <v>0.759</v>
      </c>
      <c r="M217" s="102">
        <v>0.7726</v>
      </c>
      <c r="N217" s="102">
        <v>0.7727</v>
      </c>
      <c r="O217" s="102">
        <v>0.7697</v>
      </c>
      <c r="P217" s="102">
        <v>0.7733</v>
      </c>
      <c r="Q217" s="102">
        <v>0.7759</v>
      </c>
      <c r="R217" s="102">
        <v>0.7914</v>
      </c>
      <c r="S217" s="102">
        <v>0.7904</v>
      </c>
      <c r="T217" s="102">
        <v>0.7883</v>
      </c>
      <c r="U217" s="102">
        <v>0.7963</v>
      </c>
      <c r="V217" s="102">
        <v>0.7975</v>
      </c>
    </row>
    <row r="218" ht="15" spans="1:22">
      <c r="A218" s="98"/>
      <c r="B218" s="99">
        <v>12</v>
      </c>
      <c r="C218" s="102">
        <v>0.7496</v>
      </c>
      <c r="D218" s="102">
        <v>0.7559</v>
      </c>
      <c r="E218" s="102">
        <v>0.7513</v>
      </c>
      <c r="F218" s="102">
        <v>0.7545</v>
      </c>
      <c r="G218" s="102">
        <v>0.7519</v>
      </c>
      <c r="H218" s="102">
        <v>0.7631</v>
      </c>
      <c r="I218" s="102">
        <v>0.7657</v>
      </c>
      <c r="J218" s="102">
        <v>0.7606</v>
      </c>
      <c r="K218" s="102">
        <v>0.7632</v>
      </c>
      <c r="L218" s="102">
        <v>0.7638</v>
      </c>
      <c r="M218" s="102">
        <v>0.7797</v>
      </c>
      <c r="N218" s="102">
        <v>0.7814</v>
      </c>
      <c r="O218" s="102">
        <v>0.7765</v>
      </c>
      <c r="P218" s="102">
        <v>0.7803</v>
      </c>
      <c r="Q218" s="102">
        <v>0.7881</v>
      </c>
      <c r="R218" s="102">
        <v>0.8015</v>
      </c>
      <c r="S218" s="102">
        <v>0.7992</v>
      </c>
      <c r="T218" s="102">
        <v>0.7979</v>
      </c>
      <c r="U218" s="102">
        <v>0.8056</v>
      </c>
      <c r="V218" s="102">
        <v>0.8101</v>
      </c>
    </row>
    <row r="219" ht="15" spans="1:22">
      <c r="A219" s="98"/>
      <c r="B219" s="99">
        <v>13</v>
      </c>
      <c r="C219" s="102">
        <v>0.7569</v>
      </c>
      <c r="D219" s="102">
        <v>0.7614</v>
      </c>
      <c r="E219" s="102">
        <v>0.7562</v>
      </c>
      <c r="F219" s="102">
        <v>0.7573</v>
      </c>
      <c r="G219" s="102">
        <v>0.7556</v>
      </c>
      <c r="H219" s="102">
        <v>0.7698</v>
      </c>
      <c r="I219" s="102">
        <v>0.7709</v>
      </c>
      <c r="J219" s="102">
        <v>0.7658</v>
      </c>
      <c r="K219" s="102">
        <v>0.7692</v>
      </c>
      <c r="L219" s="102">
        <v>0.7722</v>
      </c>
      <c r="M219" s="102">
        <v>0.7897</v>
      </c>
      <c r="N219" s="102">
        <v>0.79</v>
      </c>
      <c r="O219" s="102">
        <v>0.7866</v>
      </c>
      <c r="P219" s="102">
        <v>0.7911</v>
      </c>
      <c r="Q219" s="102">
        <v>0.7991</v>
      </c>
      <c r="R219" s="102">
        <v>0.8136</v>
      </c>
      <c r="S219" s="102">
        <v>0.8119</v>
      </c>
      <c r="T219" s="102">
        <v>0.8125</v>
      </c>
      <c r="U219" s="102">
        <v>0.8156</v>
      </c>
      <c r="V219" s="102">
        <v>0.8212</v>
      </c>
    </row>
    <row r="220" ht="15" spans="1:22">
      <c r="A220" s="98"/>
      <c r="B220" s="99">
        <v>14</v>
      </c>
      <c r="C220" s="102">
        <v>0.7594</v>
      </c>
      <c r="D220" s="102">
        <v>0.7637</v>
      </c>
      <c r="E220" s="102">
        <v>0.7576</v>
      </c>
      <c r="F220" s="102">
        <v>0.7593</v>
      </c>
      <c r="G220" s="102">
        <v>0.7584</v>
      </c>
      <c r="H220" s="102">
        <v>0.7759</v>
      </c>
      <c r="I220" s="102">
        <v>0.7756</v>
      </c>
      <c r="J220" s="102">
        <v>0.7712</v>
      </c>
      <c r="K220" s="102">
        <v>0.7764</v>
      </c>
      <c r="L220" s="102">
        <v>0.7783</v>
      </c>
      <c r="M220" s="102">
        <v>0.7996</v>
      </c>
      <c r="N220" s="102">
        <v>0.798</v>
      </c>
      <c r="O220" s="102">
        <v>0.7953</v>
      </c>
      <c r="P220" s="102">
        <v>0.8037</v>
      </c>
      <c r="Q220" s="102">
        <v>0.807</v>
      </c>
      <c r="R220" s="102">
        <v>0.8248</v>
      </c>
      <c r="S220" s="102">
        <v>0.8272</v>
      </c>
      <c r="T220" s="102">
        <v>0.8257</v>
      </c>
      <c r="U220" s="102">
        <v>0.8292</v>
      </c>
      <c r="V220" s="102">
        <v>0.8321</v>
      </c>
    </row>
    <row r="221" ht="15" spans="1:22">
      <c r="A221" s="98"/>
      <c r="B221" s="99">
        <v>15</v>
      </c>
      <c r="C221" s="102">
        <v>0.7621</v>
      </c>
      <c r="D221" s="102">
        <v>0.7653</v>
      </c>
      <c r="E221" s="102">
        <v>0.7597</v>
      </c>
      <c r="F221" s="102">
        <v>0.7617</v>
      </c>
      <c r="G221" s="102">
        <v>0.7615</v>
      </c>
      <c r="H221" s="102">
        <v>0.7816</v>
      </c>
      <c r="I221" s="102">
        <v>0.7821</v>
      </c>
      <c r="J221" s="102">
        <v>0.778</v>
      </c>
      <c r="K221" s="102">
        <v>0.7821</v>
      </c>
      <c r="L221" s="102">
        <v>0.7893</v>
      </c>
      <c r="M221" s="102">
        <v>0.8086</v>
      </c>
      <c r="N221" s="102">
        <v>0.8063</v>
      </c>
      <c r="O221" s="102">
        <v>0.8084</v>
      </c>
      <c r="P221" s="102">
        <v>0.8121</v>
      </c>
      <c r="Q221" s="102">
        <v>0.816</v>
      </c>
      <c r="R221" s="102">
        <v>0.8362</v>
      </c>
      <c r="S221" s="102">
        <v>0.8358</v>
      </c>
      <c r="T221" s="102">
        <v>0.8355</v>
      </c>
      <c r="U221" s="102">
        <v>0.8385</v>
      </c>
      <c r="V221" s="102">
        <v>0.8422</v>
      </c>
    </row>
    <row r="222" ht="15" spans="1:22">
      <c r="A222" s="98"/>
      <c r="B222" s="99">
        <v>16</v>
      </c>
      <c r="C222" s="102">
        <v>0.766</v>
      </c>
      <c r="D222" s="102">
        <v>0.7671</v>
      </c>
      <c r="E222" s="102">
        <v>0.7622</v>
      </c>
      <c r="F222" s="102">
        <v>0.7647</v>
      </c>
      <c r="G222" s="102">
        <v>0.765</v>
      </c>
      <c r="H222" s="102">
        <v>0.7878</v>
      </c>
      <c r="I222" s="102">
        <v>0.7878</v>
      </c>
      <c r="J222" s="102">
        <v>0.784</v>
      </c>
      <c r="K222" s="102">
        <v>0.7881</v>
      </c>
      <c r="L222" s="102">
        <v>0.7954</v>
      </c>
      <c r="M222" s="102">
        <v>0.8173</v>
      </c>
      <c r="N222" s="102">
        <v>0.8147</v>
      </c>
      <c r="O222" s="102">
        <v>0.8156</v>
      </c>
      <c r="P222" s="102">
        <v>0.8199</v>
      </c>
      <c r="Q222" s="102">
        <v>0.8257</v>
      </c>
      <c r="R222" s="102">
        <v>0.847</v>
      </c>
      <c r="S222" s="102">
        <v>0.8473</v>
      </c>
      <c r="T222" s="102">
        <v>0.8461</v>
      </c>
      <c r="U222" s="102">
        <v>0.8497</v>
      </c>
      <c r="V222" s="102">
        <v>0.8525</v>
      </c>
    </row>
    <row r="223" ht="15" spans="1:22">
      <c r="A223" s="98"/>
      <c r="B223" s="99">
        <v>17</v>
      </c>
      <c r="C223" s="102">
        <v>0.7692</v>
      </c>
      <c r="D223" s="102">
        <v>0.77</v>
      </c>
      <c r="E223" s="102">
        <v>0.7651</v>
      </c>
      <c r="F223" s="102">
        <v>0.7694</v>
      </c>
      <c r="G223" s="102">
        <v>0.769</v>
      </c>
      <c r="H223" s="102">
        <v>0.7943</v>
      </c>
      <c r="I223" s="102">
        <v>0.7936</v>
      </c>
      <c r="J223" s="102">
        <v>0.7903</v>
      </c>
      <c r="K223" s="102">
        <v>0.7988</v>
      </c>
      <c r="L223" s="102">
        <v>0.8029</v>
      </c>
      <c r="M223" s="102">
        <v>0.8261</v>
      </c>
      <c r="N223" s="102">
        <v>0.8279</v>
      </c>
      <c r="O223" s="102">
        <v>0.827</v>
      </c>
      <c r="P223" s="102">
        <v>0.8301</v>
      </c>
      <c r="Q223" s="102">
        <v>0.8358</v>
      </c>
      <c r="R223" s="102">
        <v>0.8617</v>
      </c>
      <c r="S223" s="102">
        <v>0.8575</v>
      </c>
      <c r="T223" s="102">
        <v>0.8558</v>
      </c>
      <c r="U223" s="102">
        <v>0.8585</v>
      </c>
      <c r="V223" s="102">
        <v>0.8633</v>
      </c>
    </row>
    <row r="224" ht="15" spans="1:22">
      <c r="A224" s="98"/>
      <c r="B224" s="99">
        <v>18</v>
      </c>
      <c r="C224" s="102">
        <v>0.7725</v>
      </c>
      <c r="D224" s="102">
        <v>0.7731</v>
      </c>
      <c r="E224" s="102">
        <v>0.7697</v>
      </c>
      <c r="F224" s="102">
        <v>0.773</v>
      </c>
      <c r="G224" s="102">
        <v>0.7749</v>
      </c>
      <c r="H224" s="102">
        <v>0.8021</v>
      </c>
      <c r="I224" s="102">
        <v>0.7998</v>
      </c>
      <c r="J224" s="102">
        <v>0.7968</v>
      </c>
      <c r="K224" s="102">
        <v>0.8056</v>
      </c>
      <c r="L224" s="102">
        <v>0.8096</v>
      </c>
      <c r="M224" s="102">
        <v>0.8345</v>
      </c>
      <c r="N224" s="102">
        <v>0.837</v>
      </c>
      <c r="O224" s="102">
        <v>0.8363</v>
      </c>
      <c r="P224" s="102">
        <v>0.8395</v>
      </c>
      <c r="Q224" s="102">
        <v>0.8431</v>
      </c>
      <c r="R224" s="102">
        <v>0.8699</v>
      </c>
      <c r="S224" s="102">
        <v>0.8672</v>
      </c>
      <c r="T224" s="102">
        <v>0.8675</v>
      </c>
      <c r="U224" s="102">
        <v>0.8665</v>
      </c>
      <c r="V224" s="102">
        <v>0.8695</v>
      </c>
    </row>
    <row r="225" ht="15" spans="1:22">
      <c r="A225" s="98"/>
      <c r="B225" s="99">
        <v>19</v>
      </c>
      <c r="C225" s="102">
        <v>0.7778</v>
      </c>
      <c r="D225" s="102">
        <v>0.7769</v>
      </c>
      <c r="E225" s="102">
        <v>0.7735</v>
      </c>
      <c r="F225" s="102">
        <v>0.7772</v>
      </c>
      <c r="G225" s="102">
        <v>0.7794</v>
      </c>
      <c r="H225" s="102">
        <v>0.8097</v>
      </c>
      <c r="I225" s="102">
        <v>0.8063</v>
      </c>
      <c r="J225" s="102">
        <v>0.8069</v>
      </c>
      <c r="K225" s="102">
        <v>0.8142</v>
      </c>
      <c r="L225" s="102">
        <v>0.8185</v>
      </c>
      <c r="M225" s="102">
        <v>0.8449</v>
      </c>
      <c r="N225" s="102">
        <v>0.845</v>
      </c>
      <c r="O225" s="102">
        <v>0.8449</v>
      </c>
      <c r="P225" s="102">
        <v>0.8481</v>
      </c>
      <c r="Q225" s="102">
        <v>0.8503</v>
      </c>
      <c r="R225" s="102">
        <v>0.8794</v>
      </c>
      <c r="S225" s="102">
        <v>0.8757</v>
      </c>
      <c r="T225" s="102">
        <v>0.874</v>
      </c>
      <c r="U225" s="102">
        <v>0.8767</v>
      </c>
      <c r="V225" s="102">
        <v>0.8724</v>
      </c>
    </row>
    <row r="226" ht="15" spans="1:22">
      <c r="A226" s="98"/>
      <c r="B226" s="99">
        <v>20</v>
      </c>
      <c r="C226" s="102">
        <v>0.7822</v>
      </c>
      <c r="D226" s="102">
        <v>0.7821</v>
      </c>
      <c r="E226" s="102">
        <v>0.7779</v>
      </c>
      <c r="F226" s="102">
        <v>0.7816</v>
      </c>
      <c r="G226" s="102">
        <v>0.7867</v>
      </c>
      <c r="H226" s="102">
        <v>0.8173</v>
      </c>
      <c r="I226" s="102">
        <v>0.8143</v>
      </c>
      <c r="J226" s="102">
        <v>0.815</v>
      </c>
      <c r="K226" s="102">
        <v>0.8201</v>
      </c>
      <c r="L226" s="102">
        <v>0.8258</v>
      </c>
      <c r="M226" s="102">
        <v>0.8577</v>
      </c>
      <c r="N226" s="102">
        <v>0.8543</v>
      </c>
      <c r="O226" s="102">
        <v>0.8528</v>
      </c>
      <c r="P226" s="102">
        <v>0.8546</v>
      </c>
      <c r="Q226" s="102">
        <v>0.8583</v>
      </c>
      <c r="R226" s="102">
        <v>0.8845</v>
      </c>
      <c r="S226" s="102">
        <v>0.8821</v>
      </c>
      <c r="T226" s="102">
        <v>0.8815</v>
      </c>
      <c r="U226" s="102">
        <v>0.8781</v>
      </c>
      <c r="V226" s="102">
        <v>0.8712</v>
      </c>
    </row>
    <row r="227" ht="15" spans="1:22">
      <c r="A227" s="98"/>
      <c r="B227" s="99">
        <v>21</v>
      </c>
      <c r="C227" s="102">
        <v>0.7869</v>
      </c>
      <c r="D227" s="102">
        <v>0.7865</v>
      </c>
      <c r="E227" s="102">
        <v>0.7822</v>
      </c>
      <c r="F227" s="102">
        <v>0.7862</v>
      </c>
      <c r="G227" s="102">
        <v>0.7937</v>
      </c>
      <c r="H227" s="102">
        <v>0.8238</v>
      </c>
      <c r="I227" s="102">
        <v>0.8256</v>
      </c>
      <c r="J227" s="102">
        <v>0.8225</v>
      </c>
      <c r="K227" s="102">
        <v>0.827</v>
      </c>
      <c r="L227" s="102">
        <v>0.8325</v>
      </c>
      <c r="M227" s="102">
        <v>0.8641</v>
      </c>
      <c r="N227" s="102">
        <v>0.8614</v>
      </c>
      <c r="O227" s="102">
        <v>0.8618</v>
      </c>
      <c r="P227" s="102">
        <v>0.8632</v>
      </c>
      <c r="Q227" s="102">
        <v>0.8661</v>
      </c>
      <c r="R227" s="102">
        <v>0.8875</v>
      </c>
      <c r="S227" s="102">
        <v>0.8852</v>
      </c>
      <c r="T227" s="102">
        <v>0.8812</v>
      </c>
      <c r="U227" s="102">
        <v>0.8743</v>
      </c>
      <c r="V227" s="102">
        <v>0.8674</v>
      </c>
    </row>
    <row r="228" ht="15" spans="1:22">
      <c r="A228" s="98"/>
      <c r="B228" s="99">
        <v>22</v>
      </c>
      <c r="C228" s="102">
        <v>0.7914</v>
      </c>
      <c r="D228" s="102">
        <v>0.7908</v>
      </c>
      <c r="E228" s="102">
        <v>0.7871</v>
      </c>
      <c r="F228" s="102">
        <v>0.7957</v>
      </c>
      <c r="G228" s="102">
        <v>0.7984</v>
      </c>
      <c r="H228" s="102">
        <v>0.8306</v>
      </c>
      <c r="I228" s="102">
        <v>0.8334</v>
      </c>
      <c r="J228" s="102">
        <v>0.8298</v>
      </c>
      <c r="K228" s="102">
        <v>0.8354</v>
      </c>
      <c r="L228" s="102">
        <v>0.8386</v>
      </c>
      <c r="M228" s="102">
        <v>0.8725</v>
      </c>
      <c r="N228" s="102">
        <v>0.8695</v>
      </c>
      <c r="O228" s="102">
        <v>0.868</v>
      </c>
      <c r="P228" s="102">
        <v>0.8702</v>
      </c>
      <c r="Q228" s="102">
        <v>0.8727</v>
      </c>
      <c r="R228" s="102">
        <v>0.887</v>
      </c>
      <c r="S228" s="102">
        <v>0.8829</v>
      </c>
      <c r="T228" s="102">
        <v>0.8774</v>
      </c>
      <c r="U228" s="102">
        <v>0.8723</v>
      </c>
      <c r="V228" s="102">
        <v>0.8657</v>
      </c>
    </row>
    <row r="229" ht="15" spans="1:22">
      <c r="A229" s="98"/>
      <c r="B229" s="99">
        <v>23</v>
      </c>
      <c r="C229" s="102">
        <v>0.7966</v>
      </c>
      <c r="D229" s="102">
        <v>0.7953</v>
      </c>
      <c r="E229" s="102">
        <v>0.7924</v>
      </c>
      <c r="F229" s="102">
        <v>0.8012</v>
      </c>
      <c r="G229" s="102">
        <v>0.8042</v>
      </c>
      <c r="H229" s="102">
        <v>0.8374</v>
      </c>
      <c r="I229" s="102">
        <v>0.8404</v>
      </c>
      <c r="J229" s="102">
        <v>0.8363</v>
      </c>
      <c r="K229" s="102">
        <v>0.8413</v>
      </c>
      <c r="L229" s="102">
        <v>0.8441</v>
      </c>
      <c r="M229" s="102">
        <v>0.8795</v>
      </c>
      <c r="N229" s="102">
        <v>0.8754</v>
      </c>
      <c r="O229" s="102">
        <v>0.8756</v>
      </c>
      <c r="P229" s="102">
        <v>0.8767</v>
      </c>
      <c r="Q229" s="102">
        <v>0.8727</v>
      </c>
      <c r="R229" s="102">
        <v>0.885</v>
      </c>
      <c r="S229" s="102">
        <v>0.8817</v>
      </c>
      <c r="T229" s="102">
        <v>0.8746</v>
      </c>
      <c r="U229" s="102">
        <v>0.868</v>
      </c>
      <c r="V229" s="102">
        <v>0.8634</v>
      </c>
    </row>
    <row r="230" ht="15" spans="1:22">
      <c r="A230" s="98"/>
      <c r="B230" s="99">
        <v>24</v>
      </c>
      <c r="C230" s="102">
        <v>0.8021</v>
      </c>
      <c r="D230" s="102">
        <v>0.7999</v>
      </c>
      <c r="E230" s="102">
        <v>0.8015</v>
      </c>
      <c r="F230" s="102">
        <v>0.8064</v>
      </c>
      <c r="G230" s="102">
        <v>0.8103</v>
      </c>
      <c r="H230" s="102">
        <v>0.8497</v>
      </c>
      <c r="I230" s="102">
        <v>0.8469</v>
      </c>
      <c r="J230" s="102">
        <v>0.8461</v>
      </c>
      <c r="K230" s="102">
        <v>0.8487</v>
      </c>
      <c r="L230" s="102">
        <v>0.8509</v>
      </c>
      <c r="M230" s="102">
        <v>0.8846</v>
      </c>
      <c r="N230" s="102">
        <v>0.8825</v>
      </c>
      <c r="O230" s="102">
        <v>0.8813</v>
      </c>
      <c r="P230" s="102">
        <v>0.8772</v>
      </c>
      <c r="Q230" s="102">
        <v>0.8695</v>
      </c>
      <c r="R230" s="102">
        <v>0.8818</v>
      </c>
      <c r="S230" s="102">
        <v>0.8802</v>
      </c>
      <c r="T230" s="102">
        <v>0.8736</v>
      </c>
      <c r="U230" s="102">
        <v>0.8674</v>
      </c>
      <c r="V230" s="102">
        <v>0.863</v>
      </c>
    </row>
    <row r="231" ht="15" spans="1:22">
      <c r="A231" s="98"/>
      <c r="B231" s="99">
        <v>25</v>
      </c>
      <c r="C231" s="102">
        <v>0.8075</v>
      </c>
      <c r="D231" s="102">
        <v>0.805</v>
      </c>
      <c r="E231" s="102">
        <v>0.8058</v>
      </c>
      <c r="F231" s="102">
        <v>0.811</v>
      </c>
      <c r="G231" s="102">
        <v>0.8157</v>
      </c>
      <c r="H231" s="102" t="s">
        <v>3181</v>
      </c>
      <c r="I231" s="102">
        <v>0.8527</v>
      </c>
      <c r="J231" s="102">
        <v>0.8517</v>
      </c>
      <c r="K231" s="102">
        <v>0.8539</v>
      </c>
      <c r="L231" s="102">
        <v>0.8571</v>
      </c>
      <c r="M231" s="102">
        <v>0.8877</v>
      </c>
      <c r="N231" s="102">
        <v>0.8845</v>
      </c>
      <c r="O231" s="102">
        <v>0.8799</v>
      </c>
      <c r="P231" s="102">
        <v>0.874</v>
      </c>
      <c r="Q231" s="102">
        <v>0.8666</v>
      </c>
      <c r="R231" s="102">
        <v>0.8803</v>
      </c>
      <c r="S231" s="102">
        <v>0.8774</v>
      </c>
      <c r="T231" s="102">
        <v>0.8708</v>
      </c>
      <c r="U231" s="102">
        <v>0.8662</v>
      </c>
      <c r="V231" s="102">
        <v>0.8628</v>
      </c>
    </row>
    <row r="234" ht="15" spans="1:22">
      <c r="A234" s="98">
        <v>0.15</v>
      </c>
      <c r="B234" s="99">
        <v>6</v>
      </c>
      <c r="C234" s="102">
        <v>0.6104</v>
      </c>
      <c r="D234" s="102">
        <v>0.6102</v>
      </c>
      <c r="E234" s="102">
        <v>0.593</v>
      </c>
      <c r="F234" s="102">
        <v>0.5704</v>
      </c>
      <c r="G234" s="102">
        <v>0.5522</v>
      </c>
      <c r="H234" s="102">
        <v>0.6513</v>
      </c>
      <c r="I234" s="102">
        <v>0.6515</v>
      </c>
      <c r="J234" s="102">
        <v>0.6363</v>
      </c>
      <c r="K234" s="102">
        <v>0.6183</v>
      </c>
      <c r="L234" s="102">
        <v>0.6322</v>
      </c>
      <c r="M234" s="102">
        <v>0.6841</v>
      </c>
      <c r="N234" s="102">
        <v>0.6837</v>
      </c>
      <c r="O234" s="102">
        <v>0.6752</v>
      </c>
      <c r="P234" s="102">
        <v>0.6828</v>
      </c>
      <c r="Q234" s="102">
        <v>0.6944</v>
      </c>
      <c r="R234" s="102">
        <v>0.7151</v>
      </c>
      <c r="S234" s="102">
        <v>0.7215</v>
      </c>
      <c r="T234" s="102">
        <v>0.7251</v>
      </c>
      <c r="U234" s="102">
        <v>0.7307</v>
      </c>
      <c r="V234" s="102">
        <v>0.736</v>
      </c>
    </row>
    <row r="235" ht="15" spans="1:22">
      <c r="A235" s="98"/>
      <c r="B235" s="99">
        <v>7</v>
      </c>
      <c r="C235" s="102">
        <v>0.6347</v>
      </c>
      <c r="D235" s="102">
        <v>0.6319</v>
      </c>
      <c r="E235" s="102">
        <v>0.6167</v>
      </c>
      <c r="F235" s="102">
        <v>0.5899</v>
      </c>
      <c r="G235" s="102">
        <v>0.5956</v>
      </c>
      <c r="H235" s="102">
        <v>0.6749</v>
      </c>
      <c r="I235" s="102">
        <v>0.6734</v>
      </c>
      <c r="J235" s="102">
        <v>0.658</v>
      </c>
      <c r="K235" s="102">
        <v>0.6641</v>
      </c>
      <c r="L235" s="102">
        <v>0.6758</v>
      </c>
      <c r="M235" s="102">
        <v>0.7114</v>
      </c>
      <c r="N235" s="102">
        <v>0.7146</v>
      </c>
      <c r="O235" s="102">
        <v>0.719</v>
      </c>
      <c r="P235" s="102">
        <v>0.725</v>
      </c>
      <c r="Q235" s="102">
        <v>0.7321</v>
      </c>
      <c r="R235" s="102">
        <v>0.7393</v>
      </c>
      <c r="S235" s="102">
        <v>0.7481</v>
      </c>
      <c r="T235" s="102">
        <v>0.7505</v>
      </c>
      <c r="U235" s="102">
        <v>0.7528</v>
      </c>
      <c r="V235" s="102">
        <v>0.748</v>
      </c>
    </row>
    <row r="236" ht="15" spans="1:22">
      <c r="A236" s="98"/>
      <c r="B236" s="99">
        <v>8</v>
      </c>
      <c r="C236" s="102">
        <v>0.6547</v>
      </c>
      <c r="D236" s="102">
        <v>0.6516</v>
      </c>
      <c r="E236" s="102">
        <v>0.6364</v>
      </c>
      <c r="F236" s="102">
        <v>0.6205</v>
      </c>
      <c r="G236" s="102">
        <v>0.6337</v>
      </c>
      <c r="H236" s="102">
        <v>0.6961</v>
      </c>
      <c r="I236" s="102">
        <v>0.6917</v>
      </c>
      <c r="J236" s="102">
        <v>0.6933</v>
      </c>
      <c r="K236" s="102">
        <v>0.7017</v>
      </c>
      <c r="L236" s="102">
        <v>0.7111</v>
      </c>
      <c r="M236" s="102">
        <v>0.7334</v>
      </c>
      <c r="N236" s="102">
        <v>0.7423</v>
      </c>
      <c r="O236" s="102">
        <v>0.7449</v>
      </c>
      <c r="P236" s="102">
        <v>0.7487</v>
      </c>
      <c r="Q236" s="102">
        <v>0.7455</v>
      </c>
      <c r="R236" s="102">
        <v>0.7482</v>
      </c>
      <c r="S236" s="102">
        <v>0.7554</v>
      </c>
      <c r="T236" s="102">
        <v>0.753</v>
      </c>
      <c r="U236" s="102">
        <v>0.7564</v>
      </c>
      <c r="V236" s="102">
        <v>0.7517</v>
      </c>
    </row>
    <row r="237" ht="15" spans="1:22">
      <c r="A237" s="98"/>
      <c r="B237" s="99">
        <v>9</v>
      </c>
      <c r="C237" s="102">
        <v>0.6721</v>
      </c>
      <c r="D237" s="102">
        <v>0.6685</v>
      </c>
      <c r="E237" s="102">
        <v>0.6536</v>
      </c>
      <c r="F237" s="102">
        <v>0.655</v>
      </c>
      <c r="G237" s="102">
        <v>0.6671</v>
      </c>
      <c r="H237" s="102">
        <v>0.7159</v>
      </c>
      <c r="I237" s="102">
        <v>0.721</v>
      </c>
      <c r="J237" s="102">
        <v>0.7249</v>
      </c>
      <c r="K237" s="102">
        <v>0.7311</v>
      </c>
      <c r="L237" s="102">
        <v>0.7354</v>
      </c>
      <c r="M237" s="102">
        <v>0.7434</v>
      </c>
      <c r="N237" s="102">
        <v>0.7528</v>
      </c>
      <c r="O237" s="102">
        <v>0.7505</v>
      </c>
      <c r="P237" s="102">
        <v>0.7537</v>
      </c>
      <c r="Q237" s="102">
        <v>0.7497</v>
      </c>
      <c r="R237" s="102">
        <v>0.7529</v>
      </c>
      <c r="S237" s="102">
        <v>0.7587</v>
      </c>
      <c r="T237" s="102">
        <v>0.7553</v>
      </c>
      <c r="U237" s="102">
        <v>0.7584</v>
      </c>
      <c r="V237" s="102">
        <v>0.7557</v>
      </c>
    </row>
    <row r="238" ht="15" spans="1:22">
      <c r="A238" s="98"/>
      <c r="B238" s="99">
        <v>10</v>
      </c>
      <c r="C238" s="102">
        <v>0.6875</v>
      </c>
      <c r="D238" s="102">
        <v>0.6839</v>
      </c>
      <c r="E238" s="102">
        <v>0.676</v>
      </c>
      <c r="F238" s="102">
        <v>0.6852</v>
      </c>
      <c r="G238" s="102">
        <v>0.6954</v>
      </c>
      <c r="H238" s="102">
        <v>0.733</v>
      </c>
      <c r="I238" s="102">
        <v>0.7416</v>
      </c>
      <c r="J238" s="102">
        <v>0.7436</v>
      </c>
      <c r="K238" s="102">
        <v>0.7465</v>
      </c>
      <c r="L238" s="102">
        <v>0.7444</v>
      </c>
      <c r="M238" s="102">
        <v>0.7496</v>
      </c>
      <c r="N238" s="102">
        <v>0.7565</v>
      </c>
      <c r="O238" s="102">
        <v>0.7538</v>
      </c>
      <c r="P238" s="102">
        <v>0.7553</v>
      </c>
      <c r="Q238" s="102">
        <v>0.7521</v>
      </c>
      <c r="R238" s="102">
        <v>0.7604</v>
      </c>
      <c r="S238" s="102">
        <v>0.7635</v>
      </c>
      <c r="T238" s="102">
        <v>0.7601</v>
      </c>
      <c r="U238" s="102">
        <v>0.7613</v>
      </c>
      <c r="V238" s="102">
        <v>0.7626</v>
      </c>
    </row>
    <row r="239" ht="15" spans="1:22">
      <c r="A239" s="98"/>
      <c r="B239" s="99">
        <v>11</v>
      </c>
      <c r="C239" s="102">
        <v>0.7008</v>
      </c>
      <c r="D239" s="102">
        <v>0.699</v>
      </c>
      <c r="E239" s="102">
        <v>0.7023</v>
      </c>
      <c r="F239" s="102">
        <v>0.7109</v>
      </c>
      <c r="G239" s="102">
        <v>0.7191</v>
      </c>
      <c r="H239" s="102">
        <v>0.741</v>
      </c>
      <c r="I239" s="102">
        <v>0.7506</v>
      </c>
      <c r="J239" s="102">
        <v>0.7494</v>
      </c>
      <c r="K239" s="102">
        <v>0.7505</v>
      </c>
      <c r="L239" s="102">
        <v>0.7481</v>
      </c>
      <c r="M239" s="102">
        <v>0.7534</v>
      </c>
      <c r="N239" s="102">
        <v>0.7599</v>
      </c>
      <c r="O239" s="102">
        <v>0.7552</v>
      </c>
      <c r="P239" s="102">
        <v>0.7575</v>
      </c>
      <c r="Q239" s="102">
        <v>0.757</v>
      </c>
      <c r="R239" s="102">
        <v>0.7656</v>
      </c>
      <c r="S239" s="102">
        <v>0.7674</v>
      </c>
      <c r="T239" s="102">
        <v>0.7638</v>
      </c>
      <c r="U239" s="102">
        <v>0.7674</v>
      </c>
      <c r="V239" s="102">
        <v>0.7679</v>
      </c>
    </row>
    <row r="240" ht="15" spans="1:22">
      <c r="A240" s="98"/>
      <c r="B240" s="99">
        <v>12</v>
      </c>
      <c r="C240" s="102">
        <v>0.715</v>
      </c>
      <c r="D240" s="102">
        <v>0.7218</v>
      </c>
      <c r="E240" s="102">
        <v>0.7252</v>
      </c>
      <c r="F240" s="102">
        <v>0.7313</v>
      </c>
      <c r="G240" s="102">
        <v>0.7351</v>
      </c>
      <c r="H240" s="102">
        <v>0.7459</v>
      </c>
      <c r="I240" s="102">
        <v>0.7544</v>
      </c>
      <c r="J240" s="102">
        <v>0.7501</v>
      </c>
      <c r="K240" s="102">
        <v>0.7517</v>
      </c>
      <c r="L240" s="102">
        <v>0.7501</v>
      </c>
      <c r="M240" s="102">
        <v>0.7586</v>
      </c>
      <c r="N240" s="102">
        <v>0.7619</v>
      </c>
      <c r="O240" s="102">
        <v>0.7575</v>
      </c>
      <c r="P240" s="102">
        <v>0.7616</v>
      </c>
      <c r="Q240" s="102">
        <v>0.7609</v>
      </c>
      <c r="R240" s="102">
        <v>0.7711</v>
      </c>
      <c r="S240" s="102">
        <v>0.7725</v>
      </c>
      <c r="T240" s="102">
        <v>0.7687</v>
      </c>
      <c r="U240" s="102">
        <v>0.7724</v>
      </c>
      <c r="V240" s="102">
        <v>0.774</v>
      </c>
    </row>
    <row r="241" ht="15" spans="1:22">
      <c r="A241" s="98"/>
      <c r="B241" s="99">
        <v>13</v>
      </c>
      <c r="C241" s="102">
        <v>0.7318</v>
      </c>
      <c r="D241" s="102">
        <v>0.7398</v>
      </c>
      <c r="E241" s="102">
        <v>0.7425</v>
      </c>
      <c r="F241" s="102">
        <v>0.7449</v>
      </c>
      <c r="G241" s="102">
        <v>0.743</v>
      </c>
      <c r="H241" s="102">
        <v>0.7518</v>
      </c>
      <c r="I241" s="102">
        <v>0.7596</v>
      </c>
      <c r="J241" s="102">
        <v>0.754</v>
      </c>
      <c r="K241" s="102">
        <v>0.7562</v>
      </c>
      <c r="L241" s="102">
        <v>0.7544</v>
      </c>
      <c r="M241" s="102">
        <v>0.7649</v>
      </c>
      <c r="N241" s="102">
        <v>0.7667</v>
      </c>
      <c r="O241" s="102">
        <v>0.7622</v>
      </c>
      <c r="P241" s="102">
        <v>0.7665</v>
      </c>
      <c r="Q241" s="102">
        <v>0.7666</v>
      </c>
      <c r="R241" s="102">
        <v>0.7797</v>
      </c>
      <c r="S241" s="102">
        <v>0.7791</v>
      </c>
      <c r="T241" s="102">
        <v>0.7756</v>
      </c>
      <c r="U241" s="102">
        <v>0.7792</v>
      </c>
      <c r="V241" s="102">
        <v>0.7818</v>
      </c>
    </row>
    <row r="242" ht="15" spans="1:22">
      <c r="A242" s="98"/>
      <c r="B242" s="99">
        <v>14</v>
      </c>
      <c r="C242" s="102">
        <v>0.7421</v>
      </c>
      <c r="D242" s="102">
        <v>0.7505</v>
      </c>
      <c r="E242" s="102">
        <v>0.7491</v>
      </c>
      <c r="F242" s="102">
        <v>0.7499</v>
      </c>
      <c r="G242" s="102">
        <v>0.7469</v>
      </c>
      <c r="H242" s="102">
        <v>0.7563</v>
      </c>
      <c r="I242" s="102">
        <v>0.7618</v>
      </c>
      <c r="J242" s="102">
        <v>0.7567</v>
      </c>
      <c r="K242" s="102">
        <v>0.7583</v>
      </c>
      <c r="L242" s="102">
        <v>0.7575</v>
      </c>
      <c r="M242" s="102">
        <v>0.7704</v>
      </c>
      <c r="N242" s="102">
        <v>0.7722</v>
      </c>
      <c r="O242" s="102">
        <v>0.7682</v>
      </c>
      <c r="P242" s="102">
        <v>0.7713</v>
      </c>
      <c r="Q242" s="102">
        <v>0.7715</v>
      </c>
      <c r="R242" s="102">
        <v>0.7871</v>
      </c>
      <c r="S242" s="102">
        <v>0.7869</v>
      </c>
      <c r="T242" s="102">
        <v>0.7842</v>
      </c>
      <c r="U242" s="102">
        <v>0.788</v>
      </c>
      <c r="V242" s="102">
        <v>0.7938</v>
      </c>
    </row>
    <row r="243" ht="15" spans="1:22">
      <c r="A243" s="98"/>
      <c r="B243" s="99">
        <v>15</v>
      </c>
      <c r="C243" s="102">
        <v>0.7475</v>
      </c>
      <c r="D243" s="102">
        <v>0.7553</v>
      </c>
      <c r="E243" s="102">
        <v>0.7516</v>
      </c>
      <c r="F243" s="102">
        <v>0.7535</v>
      </c>
      <c r="G243" s="102">
        <v>0.7503</v>
      </c>
      <c r="H243" s="102">
        <v>0.7597</v>
      </c>
      <c r="I243" s="102">
        <v>0.7635</v>
      </c>
      <c r="J243" s="102">
        <v>0.7586</v>
      </c>
      <c r="K243" s="102">
        <v>0.7607</v>
      </c>
      <c r="L243" s="102">
        <v>0.7611</v>
      </c>
      <c r="M243" s="102">
        <v>0.7757</v>
      </c>
      <c r="N243" s="102">
        <v>0.7766</v>
      </c>
      <c r="O243" s="102">
        <v>0.7729</v>
      </c>
      <c r="P243" s="102">
        <v>0.7761</v>
      </c>
      <c r="Q243" s="102">
        <v>0.7787</v>
      </c>
      <c r="R243" s="102">
        <v>0.7945</v>
      </c>
      <c r="S243" s="102">
        <v>0.7935</v>
      </c>
      <c r="T243" s="102">
        <v>0.7911</v>
      </c>
      <c r="U243" s="102">
        <v>0.8005</v>
      </c>
      <c r="V243" s="102">
        <v>0.8014</v>
      </c>
    </row>
    <row r="244" ht="15" spans="1:22">
      <c r="A244" s="98"/>
      <c r="B244" s="99">
        <v>16</v>
      </c>
      <c r="C244" s="102">
        <v>0.7507</v>
      </c>
      <c r="D244" s="102">
        <v>0.7576</v>
      </c>
      <c r="E244" s="102">
        <v>0.754</v>
      </c>
      <c r="F244" s="102">
        <v>0.7549</v>
      </c>
      <c r="G244" s="102">
        <v>0.7514</v>
      </c>
      <c r="H244" s="102">
        <v>0.763</v>
      </c>
      <c r="I244" s="102">
        <v>0.7663</v>
      </c>
      <c r="J244" s="102">
        <v>0.7615</v>
      </c>
      <c r="K244" s="102">
        <v>0.764</v>
      </c>
      <c r="L244" s="102">
        <v>0.765</v>
      </c>
      <c r="M244" s="102">
        <v>0.781</v>
      </c>
      <c r="N244" s="102">
        <v>0.7813</v>
      </c>
      <c r="O244" s="102">
        <v>0.7783</v>
      </c>
      <c r="P244" s="102">
        <v>0.7817</v>
      </c>
      <c r="Q244" s="102">
        <v>0.7848</v>
      </c>
      <c r="R244" s="102">
        <v>0.8026</v>
      </c>
      <c r="S244" s="102">
        <v>0.8007</v>
      </c>
      <c r="T244" s="102">
        <v>0.7984</v>
      </c>
      <c r="U244" s="102">
        <v>0.8072</v>
      </c>
      <c r="V244" s="102">
        <v>0.8101</v>
      </c>
    </row>
    <row r="245" ht="15" spans="1:22">
      <c r="A245" s="98"/>
      <c r="B245" s="99">
        <v>17</v>
      </c>
      <c r="C245" s="102">
        <v>0.7544</v>
      </c>
      <c r="D245" s="102">
        <v>0.7595</v>
      </c>
      <c r="E245" s="102">
        <v>0.7551</v>
      </c>
      <c r="F245" s="102">
        <v>0.7558</v>
      </c>
      <c r="G245" s="102">
        <v>0.7533</v>
      </c>
      <c r="H245" s="102">
        <v>0.7664</v>
      </c>
      <c r="I245" s="102">
        <v>0.7692</v>
      </c>
      <c r="J245" s="102">
        <v>0.7648</v>
      </c>
      <c r="K245" s="102">
        <v>0.7689</v>
      </c>
      <c r="L245" s="102">
        <v>0.7703</v>
      </c>
      <c r="M245" s="102">
        <v>0.7887</v>
      </c>
      <c r="N245" s="102">
        <v>0.7868</v>
      </c>
      <c r="O245" s="102">
        <v>0.7838</v>
      </c>
      <c r="P245" s="102">
        <v>0.7893</v>
      </c>
      <c r="Q245" s="102">
        <v>0.796</v>
      </c>
      <c r="R245" s="102">
        <v>0.8117</v>
      </c>
      <c r="S245" s="102">
        <v>0.8097</v>
      </c>
      <c r="T245" s="102">
        <v>0.8116</v>
      </c>
      <c r="U245" s="102">
        <v>0.8154</v>
      </c>
      <c r="V245" s="102">
        <v>0.8179</v>
      </c>
    </row>
    <row r="246" ht="15" spans="1:22">
      <c r="A246" s="98"/>
      <c r="B246" s="99">
        <v>18</v>
      </c>
      <c r="C246" s="102">
        <v>0.7562</v>
      </c>
      <c r="D246" s="102">
        <v>0.7601</v>
      </c>
      <c r="E246" s="102">
        <v>0.7559</v>
      </c>
      <c r="F246" s="102">
        <v>0.757</v>
      </c>
      <c r="G246" s="102">
        <v>0.7554</v>
      </c>
      <c r="H246" s="102">
        <v>0.7708</v>
      </c>
      <c r="I246" s="102">
        <v>0.7727</v>
      </c>
      <c r="J246" s="102">
        <v>0.7682</v>
      </c>
      <c r="K246" s="102">
        <v>0.7725</v>
      </c>
      <c r="L246" s="102">
        <v>0.7746</v>
      </c>
      <c r="M246" s="102">
        <v>0.7946</v>
      </c>
      <c r="N246" s="102">
        <v>0.7937</v>
      </c>
      <c r="O246" s="102">
        <v>0.7909</v>
      </c>
      <c r="P246" s="102">
        <v>0.7993</v>
      </c>
      <c r="Q246" s="102">
        <v>0.8019</v>
      </c>
      <c r="R246" s="102">
        <v>0.8198</v>
      </c>
      <c r="S246" s="102">
        <v>0.817</v>
      </c>
      <c r="T246" s="102">
        <v>0.819</v>
      </c>
      <c r="U246" s="102">
        <v>0.8224</v>
      </c>
      <c r="V246" s="102">
        <v>0.8283</v>
      </c>
    </row>
    <row r="247" ht="15" spans="1:22">
      <c r="A247" s="98"/>
      <c r="B247" s="99">
        <v>19</v>
      </c>
      <c r="C247" s="102">
        <v>0.7587</v>
      </c>
      <c r="D247" s="102">
        <v>0.7618</v>
      </c>
      <c r="E247" s="102">
        <v>0.7569</v>
      </c>
      <c r="F247" s="102">
        <v>0.7585</v>
      </c>
      <c r="G247" s="102">
        <v>0.7578</v>
      </c>
      <c r="H247" s="102">
        <v>0.7766</v>
      </c>
      <c r="I247" s="102">
        <v>0.7775</v>
      </c>
      <c r="J247" s="102">
        <v>0.7736</v>
      </c>
      <c r="K247" s="102">
        <v>0.7768</v>
      </c>
      <c r="L247" s="102">
        <v>0.7795</v>
      </c>
      <c r="M247" s="102">
        <v>0.8016</v>
      </c>
      <c r="N247" s="102">
        <v>0.8004</v>
      </c>
      <c r="O247" s="102">
        <v>0.7973</v>
      </c>
      <c r="P247" s="102">
        <v>0.805</v>
      </c>
      <c r="Q247" s="102">
        <v>0.8091</v>
      </c>
      <c r="R247" s="102">
        <v>0.8276</v>
      </c>
      <c r="S247" s="102">
        <v>0.8277</v>
      </c>
      <c r="T247" s="102">
        <v>0.8276</v>
      </c>
      <c r="U247" s="102">
        <v>0.8291</v>
      </c>
      <c r="V247" s="102">
        <v>0.8363</v>
      </c>
    </row>
    <row r="248" ht="15" spans="1:22">
      <c r="A248" s="98"/>
      <c r="B248" s="99">
        <v>20</v>
      </c>
      <c r="C248" s="102">
        <v>0.761</v>
      </c>
      <c r="D248" s="102">
        <v>0.7637</v>
      </c>
      <c r="E248" s="102">
        <v>0.7586</v>
      </c>
      <c r="F248" s="102">
        <v>0.7607</v>
      </c>
      <c r="G248" s="102">
        <v>0.7608</v>
      </c>
      <c r="H248" s="102">
        <v>0.7818</v>
      </c>
      <c r="I248" s="102">
        <v>0.7814</v>
      </c>
      <c r="J248" s="102">
        <v>0.778</v>
      </c>
      <c r="K248" s="102">
        <v>0.7816</v>
      </c>
      <c r="L248" s="102">
        <v>0.7888</v>
      </c>
      <c r="M248" s="102">
        <v>0.8082</v>
      </c>
      <c r="N248" s="102">
        <v>0.8064</v>
      </c>
      <c r="O248" s="102">
        <v>0.8078</v>
      </c>
      <c r="P248" s="102">
        <v>0.8124</v>
      </c>
      <c r="Q248" s="102">
        <v>0.8174</v>
      </c>
      <c r="R248" s="102">
        <v>0.8359</v>
      </c>
      <c r="S248" s="102">
        <v>0.8374</v>
      </c>
      <c r="T248" s="102">
        <v>0.8352</v>
      </c>
      <c r="U248" s="102">
        <v>0.8382</v>
      </c>
      <c r="V248" s="102">
        <v>0.8435</v>
      </c>
    </row>
    <row r="249" ht="15" spans="1:22">
      <c r="A249" s="98"/>
      <c r="B249" s="99">
        <v>21</v>
      </c>
      <c r="C249" s="102">
        <v>0.7636</v>
      </c>
      <c r="D249" s="102">
        <v>0.7652</v>
      </c>
      <c r="E249" s="102">
        <v>0.7607</v>
      </c>
      <c r="F249" s="102">
        <v>0.7642</v>
      </c>
      <c r="G249" s="102">
        <v>0.7647</v>
      </c>
      <c r="H249" s="102">
        <v>0.7864</v>
      </c>
      <c r="I249" s="102">
        <v>0.7856</v>
      </c>
      <c r="J249" s="102">
        <v>0.782</v>
      </c>
      <c r="K249" s="102">
        <v>0.7864</v>
      </c>
      <c r="L249" s="102">
        <v>0.7936</v>
      </c>
      <c r="M249" s="102">
        <v>0.8157</v>
      </c>
      <c r="N249" s="102">
        <v>0.8126</v>
      </c>
      <c r="O249" s="102">
        <v>0.8154</v>
      </c>
      <c r="P249" s="102">
        <v>0.8189</v>
      </c>
      <c r="Q249" s="102">
        <v>0.8235</v>
      </c>
      <c r="R249" s="102">
        <v>0.8434</v>
      </c>
      <c r="S249" s="102">
        <v>0.8446</v>
      </c>
      <c r="T249" s="102">
        <v>0.844</v>
      </c>
      <c r="U249" s="102">
        <v>0.8482</v>
      </c>
      <c r="V249" s="102">
        <v>0.8503</v>
      </c>
    </row>
    <row r="250" ht="15" spans="1:22">
      <c r="A250" s="98"/>
      <c r="B250" s="99">
        <v>22</v>
      </c>
      <c r="C250" s="102">
        <v>0.7656</v>
      </c>
      <c r="D250" s="102">
        <v>0.769</v>
      </c>
      <c r="E250" s="102">
        <v>0.7629</v>
      </c>
      <c r="F250" s="102">
        <v>0.7671</v>
      </c>
      <c r="G250" s="102">
        <v>0.7675</v>
      </c>
      <c r="H250" s="102">
        <v>0.7913</v>
      </c>
      <c r="I250" s="102">
        <v>0.7904</v>
      </c>
      <c r="J250" s="102">
        <v>0.7868</v>
      </c>
      <c r="K250" s="102">
        <v>0.7956</v>
      </c>
      <c r="L250" s="102">
        <v>0.7999</v>
      </c>
      <c r="M250" s="102">
        <v>0.8223</v>
      </c>
      <c r="N250" s="102">
        <v>0.8197</v>
      </c>
      <c r="O250" s="102">
        <v>0.8219</v>
      </c>
      <c r="P250" s="102">
        <v>0.8253</v>
      </c>
      <c r="Q250" s="102">
        <v>0.8292</v>
      </c>
      <c r="R250" s="102">
        <v>0.8562</v>
      </c>
      <c r="S250" s="102">
        <v>0.8527</v>
      </c>
      <c r="T250" s="102">
        <v>0.8522</v>
      </c>
      <c r="U250" s="102">
        <v>0.853</v>
      </c>
      <c r="V250" s="102">
        <v>0.8565</v>
      </c>
    </row>
    <row r="251" ht="15" spans="1:22">
      <c r="A251" s="98"/>
      <c r="B251" s="99">
        <v>23</v>
      </c>
      <c r="C251" s="102">
        <v>0.7688</v>
      </c>
      <c r="D251" s="102">
        <v>0.7711</v>
      </c>
      <c r="E251" s="102">
        <v>0.7665</v>
      </c>
      <c r="F251" s="102">
        <v>0.7697</v>
      </c>
      <c r="G251" s="102">
        <v>0.7707</v>
      </c>
      <c r="H251" s="102">
        <v>0.7963</v>
      </c>
      <c r="I251" s="102">
        <v>0.7943</v>
      </c>
      <c r="J251" s="102">
        <v>0.7934</v>
      </c>
      <c r="K251" s="102">
        <v>0.8009</v>
      </c>
      <c r="L251" s="102">
        <v>0.8055</v>
      </c>
      <c r="M251" s="102">
        <v>0.8292</v>
      </c>
      <c r="N251" s="102">
        <v>0.8297</v>
      </c>
      <c r="O251" s="102">
        <v>0.8301</v>
      </c>
      <c r="P251" s="102">
        <v>0.831</v>
      </c>
      <c r="Q251" s="102">
        <v>0.8373</v>
      </c>
      <c r="R251" s="102">
        <v>0.8645</v>
      </c>
      <c r="S251" s="102">
        <v>0.8607</v>
      </c>
      <c r="T251" s="102">
        <v>0.8599</v>
      </c>
      <c r="U251" s="102">
        <v>0.8604</v>
      </c>
      <c r="V251" s="102">
        <v>0.8639</v>
      </c>
    </row>
    <row r="252" ht="15" spans="1:22">
      <c r="A252" s="98"/>
      <c r="B252" s="99">
        <v>24</v>
      </c>
      <c r="C252" s="102">
        <v>0.7721</v>
      </c>
      <c r="D252" s="102">
        <v>0.7739</v>
      </c>
      <c r="E252" s="102">
        <v>0.7691</v>
      </c>
      <c r="F252" s="102">
        <v>0.7724</v>
      </c>
      <c r="G252" s="102">
        <v>0.7744</v>
      </c>
      <c r="H252" s="102">
        <v>0.8014</v>
      </c>
      <c r="I252" s="102">
        <v>0.8006</v>
      </c>
      <c r="J252" s="102">
        <v>0.7983</v>
      </c>
      <c r="K252" s="102">
        <v>0.8056</v>
      </c>
      <c r="L252" s="102">
        <v>0.809</v>
      </c>
      <c r="M252" s="102">
        <v>0.8355</v>
      </c>
      <c r="N252" s="102">
        <v>0.8383</v>
      </c>
      <c r="O252" s="102">
        <v>0.836</v>
      </c>
      <c r="P252" s="102">
        <v>0.8395</v>
      </c>
      <c r="Q252" s="102">
        <v>0.8419</v>
      </c>
      <c r="R252" s="102">
        <v>0.8699</v>
      </c>
      <c r="S252" s="102">
        <v>0.8665</v>
      </c>
      <c r="T252" s="102">
        <v>0.8675</v>
      </c>
      <c r="U252" s="102">
        <v>0.8674</v>
      </c>
      <c r="V252" s="102">
        <v>0.8705</v>
      </c>
    </row>
    <row r="253" ht="15" spans="1:22">
      <c r="A253" s="98"/>
      <c r="B253" s="99">
        <v>25</v>
      </c>
      <c r="C253" s="102">
        <v>0.7755</v>
      </c>
      <c r="D253" s="102">
        <v>0.7763</v>
      </c>
      <c r="E253" s="102">
        <v>0.7723</v>
      </c>
      <c r="F253" s="102">
        <v>0.7759</v>
      </c>
      <c r="G253" s="102">
        <v>0.7781</v>
      </c>
      <c r="H253" s="102">
        <v>0.8073</v>
      </c>
      <c r="I253" s="102">
        <v>0.8057</v>
      </c>
      <c r="J253" s="102">
        <v>0.8069</v>
      </c>
      <c r="K253" s="102">
        <v>0.8118</v>
      </c>
      <c r="L253" s="102">
        <v>0.816</v>
      </c>
      <c r="M253" s="102">
        <v>0.8424</v>
      </c>
      <c r="N253" s="102">
        <v>0.8426</v>
      </c>
      <c r="O253" s="102">
        <v>0.8415</v>
      </c>
      <c r="P253" s="102">
        <v>0.8459</v>
      </c>
      <c r="Q253" s="102">
        <v>0.8479</v>
      </c>
      <c r="R253" s="102">
        <v>0.8773</v>
      </c>
      <c r="S253" s="102">
        <v>0.8752</v>
      </c>
      <c r="T253" s="102">
        <v>0.8724</v>
      </c>
      <c r="U253" s="102">
        <v>0.8739</v>
      </c>
      <c r="V253" s="102">
        <v>0.8732</v>
      </c>
    </row>
    <row r="256" ht="15" spans="1:22">
      <c r="A256" s="98">
        <v>0.1</v>
      </c>
      <c r="B256" s="99">
        <v>6</v>
      </c>
      <c r="C256" s="102">
        <v>0.5423</v>
      </c>
      <c r="D256" s="102">
        <v>0.5442</v>
      </c>
      <c r="E256" s="102">
        <v>0.5322</v>
      </c>
      <c r="F256" s="102">
        <v>0.5109</v>
      </c>
      <c r="G256" s="102">
        <v>0.4801</v>
      </c>
      <c r="H256" s="102">
        <v>0.5904</v>
      </c>
      <c r="I256" s="102">
        <v>0.5907</v>
      </c>
      <c r="J256" s="102">
        <v>0.5758</v>
      </c>
      <c r="K256" s="102">
        <v>0.5529</v>
      </c>
      <c r="L256" s="102">
        <v>0.5157</v>
      </c>
      <c r="M256" s="102">
        <v>0.6208</v>
      </c>
      <c r="N256" s="102">
        <v>0.62</v>
      </c>
      <c r="O256" s="102">
        <v>0.6099</v>
      </c>
      <c r="P256" s="102">
        <v>0.5842</v>
      </c>
      <c r="Q256" s="102">
        <v>0.5779</v>
      </c>
      <c r="R256" s="102">
        <v>0.6485</v>
      </c>
      <c r="S256" s="102">
        <v>0.6488</v>
      </c>
      <c r="T256" s="102">
        <v>0.6349</v>
      </c>
      <c r="U256" s="102">
        <v>0.6162</v>
      </c>
      <c r="V256" s="102">
        <v>0.6315</v>
      </c>
    </row>
    <row r="257" ht="15" spans="1:22">
      <c r="A257" s="98"/>
      <c r="B257" s="99">
        <v>7</v>
      </c>
      <c r="C257" s="102">
        <v>0.5679</v>
      </c>
      <c r="D257" s="102">
        <v>0.5692</v>
      </c>
      <c r="E257" s="102">
        <v>0.5553</v>
      </c>
      <c r="F257" s="102">
        <v>0.5325</v>
      </c>
      <c r="G257" s="102">
        <v>0.499</v>
      </c>
      <c r="H257" s="102">
        <v>0.6152</v>
      </c>
      <c r="I257" s="102">
        <v>0.6145</v>
      </c>
      <c r="J257" s="102">
        <v>0.5985</v>
      </c>
      <c r="K257" s="102">
        <v>0.5735</v>
      </c>
      <c r="L257" s="102">
        <v>0.5596</v>
      </c>
      <c r="M257" s="102">
        <v>0.6433</v>
      </c>
      <c r="N257" s="102">
        <v>0.6443</v>
      </c>
      <c r="O257" s="102">
        <v>0.6316</v>
      </c>
      <c r="P257" s="102">
        <v>0.6091</v>
      </c>
      <c r="Q257" s="102">
        <v>0.6221</v>
      </c>
      <c r="R257" s="102">
        <v>0.6736</v>
      </c>
      <c r="S257" s="102">
        <v>0.6725</v>
      </c>
      <c r="T257" s="102">
        <v>0.6578</v>
      </c>
      <c r="U257" s="102">
        <v>0.6622</v>
      </c>
      <c r="V257" s="102">
        <v>0.6752</v>
      </c>
    </row>
    <row r="258" ht="15" spans="1:22">
      <c r="A258" s="98"/>
      <c r="B258" s="99">
        <v>8</v>
      </c>
      <c r="C258" s="102">
        <v>0.5904</v>
      </c>
      <c r="D258" s="102">
        <v>0.589</v>
      </c>
      <c r="E258" s="102">
        <v>0.5742</v>
      </c>
      <c r="F258" s="102">
        <v>0.5514</v>
      </c>
      <c r="G258" s="102">
        <v>0.5174</v>
      </c>
      <c r="H258" s="102">
        <v>0.6347</v>
      </c>
      <c r="I258" s="102">
        <v>0.6337</v>
      </c>
      <c r="J258" s="102">
        <v>0.6177</v>
      </c>
      <c r="K258" s="102">
        <v>0.5905</v>
      </c>
      <c r="L258" s="102">
        <v>0.5975</v>
      </c>
      <c r="M258" s="102">
        <v>0.6648</v>
      </c>
      <c r="N258" s="102">
        <v>0.6644</v>
      </c>
      <c r="O258" s="102">
        <v>0.6504</v>
      </c>
      <c r="P258" s="102">
        <v>0.6485</v>
      </c>
      <c r="Q258" s="102">
        <v>0.6603</v>
      </c>
      <c r="R258" s="102">
        <v>0.6951</v>
      </c>
      <c r="S258" s="102">
        <v>0.6917</v>
      </c>
      <c r="T258" s="102">
        <v>0.6913</v>
      </c>
      <c r="U258" s="102">
        <v>0.7006</v>
      </c>
      <c r="V258" s="102">
        <v>0.7106</v>
      </c>
    </row>
    <row r="259" ht="15" spans="1:22">
      <c r="A259" s="98"/>
      <c r="B259" s="99">
        <v>9</v>
      </c>
      <c r="C259" s="102">
        <v>0.6077</v>
      </c>
      <c r="D259" s="102">
        <v>0.6067</v>
      </c>
      <c r="E259" s="102">
        <v>0.5904</v>
      </c>
      <c r="F259" s="102">
        <v>0.5659</v>
      </c>
      <c r="G259" s="102">
        <v>0.5504</v>
      </c>
      <c r="H259" s="102">
        <v>0.6513</v>
      </c>
      <c r="I259" s="102">
        <v>0.65</v>
      </c>
      <c r="J259" s="102">
        <v>0.6345</v>
      </c>
      <c r="K259" s="102">
        <v>0.6175</v>
      </c>
      <c r="L259" s="102">
        <v>0.6311</v>
      </c>
      <c r="M259" s="102">
        <v>0.6838</v>
      </c>
      <c r="N259" s="102">
        <v>0.6817</v>
      </c>
      <c r="O259" s="102">
        <v>0.6739</v>
      </c>
      <c r="P259" s="102">
        <v>0.6826</v>
      </c>
      <c r="Q259" s="102">
        <v>0.6926</v>
      </c>
      <c r="R259" s="102">
        <v>0.7149</v>
      </c>
      <c r="S259" s="102">
        <v>0.7201</v>
      </c>
      <c r="T259" s="102">
        <v>0.7242</v>
      </c>
      <c r="U259" s="102">
        <v>0.7301</v>
      </c>
      <c r="V259" s="102">
        <v>0.7352</v>
      </c>
    </row>
    <row r="260" ht="15" spans="1:22">
      <c r="A260" s="98"/>
      <c r="B260" s="99">
        <v>10</v>
      </c>
      <c r="C260" s="102">
        <v>0.625</v>
      </c>
      <c r="D260" s="102">
        <v>0.6216</v>
      </c>
      <c r="E260" s="102">
        <v>0.6062</v>
      </c>
      <c r="F260" s="102">
        <v>0.5802</v>
      </c>
      <c r="G260" s="102">
        <v>0.5799</v>
      </c>
      <c r="H260" s="102">
        <v>0.666</v>
      </c>
      <c r="I260" s="102">
        <v>0.6653</v>
      </c>
      <c r="J260" s="102">
        <v>0.6495</v>
      </c>
      <c r="K260" s="102">
        <v>0.6481</v>
      </c>
      <c r="L260" s="102">
        <v>0.6612</v>
      </c>
      <c r="M260" s="102">
        <v>0.7015</v>
      </c>
      <c r="N260" s="102">
        <v>0.7</v>
      </c>
      <c r="O260" s="102">
        <v>0.7034</v>
      </c>
      <c r="P260" s="102">
        <v>0.7114</v>
      </c>
      <c r="Q260" s="102">
        <v>0.7203</v>
      </c>
      <c r="R260" s="102">
        <v>0.7322</v>
      </c>
      <c r="S260" s="102">
        <v>0.7415</v>
      </c>
      <c r="T260" s="102">
        <v>0.7442</v>
      </c>
      <c r="U260" s="102">
        <v>0.7466</v>
      </c>
      <c r="V260" s="102">
        <v>0.7439</v>
      </c>
    </row>
    <row r="261" ht="15" spans="1:22">
      <c r="A261" s="98"/>
      <c r="B261" s="99">
        <v>11</v>
      </c>
      <c r="C261" s="102">
        <v>0.6394</v>
      </c>
      <c r="D261" s="102">
        <v>0.6357</v>
      </c>
      <c r="E261" s="102">
        <v>0.6206</v>
      </c>
      <c r="F261" s="102">
        <v>0.5922</v>
      </c>
      <c r="G261" s="102">
        <v>0.6067</v>
      </c>
      <c r="H261" s="102">
        <v>0.6799</v>
      </c>
      <c r="I261" s="102">
        <v>0.6784</v>
      </c>
      <c r="J261" s="102">
        <v>0.6661</v>
      </c>
      <c r="K261" s="102">
        <v>0.6755</v>
      </c>
      <c r="L261" s="102">
        <v>0.6873</v>
      </c>
      <c r="M261" s="102">
        <v>0.7182</v>
      </c>
      <c r="N261" s="102">
        <v>0.724</v>
      </c>
      <c r="O261" s="102">
        <v>0.7285</v>
      </c>
      <c r="P261" s="102">
        <v>0.7334</v>
      </c>
      <c r="Q261" s="102">
        <v>0.7377</v>
      </c>
      <c r="R261" s="102">
        <v>0.7414</v>
      </c>
      <c r="S261" s="102">
        <v>0.7529</v>
      </c>
      <c r="T261" s="102">
        <v>0.7515</v>
      </c>
      <c r="U261" s="102">
        <v>0.7513</v>
      </c>
      <c r="V261" s="102">
        <v>0.7472</v>
      </c>
    </row>
    <row r="262" ht="15" spans="1:22">
      <c r="A262" s="98"/>
      <c r="B262" s="99">
        <v>12</v>
      </c>
      <c r="C262" s="102">
        <v>0.6521</v>
      </c>
      <c r="D262" s="102">
        <v>0.6489</v>
      </c>
      <c r="E262" s="102">
        <v>0.6326</v>
      </c>
      <c r="F262" s="102">
        <v>0.6174</v>
      </c>
      <c r="G262" s="102">
        <v>0.631</v>
      </c>
      <c r="H262" s="102">
        <v>0.6938</v>
      </c>
      <c r="I262" s="102">
        <v>0.6898</v>
      </c>
      <c r="J262" s="102">
        <v>0.6913</v>
      </c>
      <c r="K262" s="102">
        <v>0.6996</v>
      </c>
      <c r="L262" s="102">
        <v>0.7097</v>
      </c>
      <c r="M262" s="102">
        <v>0.7319</v>
      </c>
      <c r="N262" s="102">
        <v>0.7412</v>
      </c>
      <c r="O262" s="102">
        <v>0.7436</v>
      </c>
      <c r="P262" s="102">
        <v>0.746</v>
      </c>
      <c r="Q262" s="102">
        <v>0.7445</v>
      </c>
      <c r="R262" s="102">
        <v>0.7464</v>
      </c>
      <c r="S262" s="102">
        <v>0.7574</v>
      </c>
      <c r="T262" s="102">
        <v>0.7538</v>
      </c>
      <c r="U262" s="102">
        <v>0.7534</v>
      </c>
      <c r="V262" s="102">
        <v>0.7513</v>
      </c>
    </row>
    <row r="263" ht="15" spans="1:22">
      <c r="A263" s="98"/>
      <c r="B263" s="99">
        <v>13</v>
      </c>
      <c r="C263" s="102">
        <v>0.6687</v>
      </c>
      <c r="D263" s="102">
        <v>0.6649</v>
      </c>
      <c r="E263" s="102">
        <v>0.6475</v>
      </c>
      <c r="F263" s="102">
        <v>0.6429</v>
      </c>
      <c r="G263" s="102">
        <v>0.6552</v>
      </c>
      <c r="H263" s="102">
        <v>0.7085</v>
      </c>
      <c r="I263" s="102">
        <v>0.7122</v>
      </c>
      <c r="J263" s="102">
        <v>0.7153</v>
      </c>
      <c r="K263" s="102">
        <v>0.7212</v>
      </c>
      <c r="L263" s="102">
        <v>0.729</v>
      </c>
      <c r="M263" s="102">
        <v>0.7419</v>
      </c>
      <c r="N263" s="102">
        <v>0.7512</v>
      </c>
      <c r="O263" s="102">
        <v>0.75</v>
      </c>
      <c r="P263" s="102">
        <v>0.7524</v>
      </c>
      <c r="Q263" s="102">
        <v>0.7483</v>
      </c>
      <c r="R263" s="102">
        <v>0.7529</v>
      </c>
      <c r="S263" s="102">
        <v>0.7606</v>
      </c>
      <c r="T263" s="102">
        <v>0.7563</v>
      </c>
      <c r="U263" s="102">
        <v>0.7573</v>
      </c>
      <c r="V263" s="102">
        <v>0.7544</v>
      </c>
    </row>
    <row r="264" ht="15" spans="1:22">
      <c r="A264" s="98"/>
      <c r="B264" s="99">
        <v>14</v>
      </c>
      <c r="C264" s="102">
        <v>0.6784</v>
      </c>
      <c r="D264" s="102">
        <v>0.6744</v>
      </c>
      <c r="E264" s="102">
        <v>0.6563</v>
      </c>
      <c r="F264" s="102">
        <v>0.6643</v>
      </c>
      <c r="G264" s="102">
        <v>0.6759</v>
      </c>
      <c r="H264" s="102">
        <v>0.7223</v>
      </c>
      <c r="I264" s="102">
        <v>0.7291</v>
      </c>
      <c r="J264" s="102">
        <v>0.7334</v>
      </c>
      <c r="K264" s="102">
        <v>0.7375</v>
      </c>
      <c r="L264" s="102">
        <v>0.7398</v>
      </c>
      <c r="M264" s="102">
        <v>0.7482</v>
      </c>
      <c r="N264" s="102">
        <v>0.7557</v>
      </c>
      <c r="O264" s="102">
        <v>0.7538</v>
      </c>
      <c r="P264" s="102">
        <v>0.7547</v>
      </c>
      <c r="Q264" s="102">
        <v>0.7505</v>
      </c>
      <c r="R264" s="102">
        <v>0.7559</v>
      </c>
      <c r="S264" s="102">
        <v>0.7625</v>
      </c>
      <c r="T264" s="102">
        <v>0.758</v>
      </c>
      <c r="U264" s="102">
        <v>0.7593</v>
      </c>
      <c r="V264" s="102">
        <v>0.7574</v>
      </c>
    </row>
    <row r="265" ht="15" spans="1:22">
      <c r="A265" s="98"/>
      <c r="B265" s="99">
        <v>15</v>
      </c>
      <c r="C265" s="102">
        <v>0.6881</v>
      </c>
      <c r="D265" s="102">
        <v>0.6831</v>
      </c>
      <c r="E265" s="102">
        <v>0.6746</v>
      </c>
      <c r="F265" s="102">
        <v>0.6846</v>
      </c>
      <c r="G265" s="102">
        <v>0.6946</v>
      </c>
      <c r="H265" s="102">
        <v>0.7331</v>
      </c>
      <c r="I265" s="102">
        <v>0.7417</v>
      </c>
      <c r="J265" s="102">
        <v>0.7435</v>
      </c>
      <c r="K265" s="102">
        <v>0.7464</v>
      </c>
      <c r="L265" s="102">
        <v>0.7442</v>
      </c>
      <c r="M265" s="102">
        <v>0.7513</v>
      </c>
      <c r="N265" s="102">
        <v>0.7577</v>
      </c>
      <c r="O265" s="102">
        <v>0.7547</v>
      </c>
      <c r="P265" s="102">
        <v>0.7553</v>
      </c>
      <c r="Q265" s="102">
        <v>0.7542</v>
      </c>
      <c r="R265" s="102">
        <v>0.7608</v>
      </c>
      <c r="S265" s="102">
        <v>0.7648</v>
      </c>
      <c r="T265" s="102">
        <v>0.7601</v>
      </c>
      <c r="U265" s="102">
        <v>0.7619</v>
      </c>
      <c r="V265" s="102">
        <v>0.7602</v>
      </c>
    </row>
    <row r="266" ht="15" spans="1:22">
      <c r="A266" s="98"/>
      <c r="B266" s="99">
        <v>16</v>
      </c>
      <c r="C266" s="102">
        <v>0.6965</v>
      </c>
      <c r="D266" s="102">
        <v>0.6908</v>
      </c>
      <c r="E266" s="102">
        <v>0.6929</v>
      </c>
      <c r="F266" s="102">
        <v>0.7023</v>
      </c>
      <c r="G266" s="102">
        <v>0.7111</v>
      </c>
      <c r="H266" s="102">
        <v>0.7399</v>
      </c>
      <c r="I266" s="102">
        <v>0.7482</v>
      </c>
      <c r="J266" s="102">
        <v>0.748</v>
      </c>
      <c r="K266" s="102">
        <v>0.7494</v>
      </c>
      <c r="L266" s="102">
        <v>0.7472</v>
      </c>
      <c r="M266" s="102">
        <v>0.7553</v>
      </c>
      <c r="N266" s="102">
        <v>0.7591</v>
      </c>
      <c r="O266" s="102">
        <v>0.755</v>
      </c>
      <c r="P266" s="102">
        <v>0.7568</v>
      </c>
      <c r="Q266" s="102">
        <v>0.7562</v>
      </c>
      <c r="R266" s="102">
        <v>0.7642</v>
      </c>
      <c r="S266" s="102">
        <v>0.767</v>
      </c>
      <c r="T266" s="102">
        <v>0.7629</v>
      </c>
      <c r="U266" s="102">
        <v>0.7648</v>
      </c>
      <c r="V266" s="102">
        <v>0.7643</v>
      </c>
    </row>
    <row r="267" ht="15" spans="1:22">
      <c r="A267" s="98"/>
      <c r="B267" s="99">
        <v>17</v>
      </c>
      <c r="C267" s="102">
        <v>0.7048</v>
      </c>
      <c r="D267" s="102">
        <v>0.7073</v>
      </c>
      <c r="E267" s="102">
        <v>0.711</v>
      </c>
      <c r="F267" s="102">
        <v>0.7178</v>
      </c>
      <c r="G267" s="102">
        <v>0.7251</v>
      </c>
      <c r="H267" s="102">
        <v>0.7449</v>
      </c>
      <c r="I267" s="102">
        <v>0.7521</v>
      </c>
      <c r="J267" s="102">
        <v>0.7513</v>
      </c>
      <c r="K267" s="102">
        <v>0.7525</v>
      </c>
      <c r="L267" s="102">
        <v>0.7484</v>
      </c>
      <c r="M267" s="102">
        <v>0.7574</v>
      </c>
      <c r="N267" s="102">
        <v>0.7623</v>
      </c>
      <c r="O267" s="102">
        <v>0.7566</v>
      </c>
      <c r="P267" s="102">
        <v>0.7584</v>
      </c>
      <c r="Q267" s="102">
        <v>0.7584</v>
      </c>
      <c r="R267" s="102">
        <v>0.768</v>
      </c>
      <c r="S267" s="102">
        <v>0.7699</v>
      </c>
      <c r="T267" s="102">
        <v>0.7655</v>
      </c>
      <c r="U267" s="102">
        <v>0.7679</v>
      </c>
      <c r="V267" s="102">
        <v>0.7703</v>
      </c>
    </row>
    <row r="268" ht="15" spans="1:22">
      <c r="A268" s="98"/>
      <c r="B268" s="99">
        <v>18</v>
      </c>
      <c r="C268" s="102">
        <v>0.7152</v>
      </c>
      <c r="D268" s="102">
        <v>0.7213</v>
      </c>
      <c r="E268" s="102">
        <v>0.7249</v>
      </c>
      <c r="F268" s="102">
        <v>0.7311</v>
      </c>
      <c r="G268" s="102">
        <v>0.7347</v>
      </c>
      <c r="H268" s="102">
        <v>0.7473</v>
      </c>
      <c r="I268" s="102">
        <v>0.754</v>
      </c>
      <c r="J268" s="102">
        <v>0.7524</v>
      </c>
      <c r="K268" s="102">
        <v>0.7533</v>
      </c>
      <c r="L268" s="102">
        <v>0.7513</v>
      </c>
      <c r="M268" s="102">
        <v>0.76</v>
      </c>
      <c r="N268" s="102">
        <v>0.7641</v>
      </c>
      <c r="O268" s="102">
        <v>0.7583</v>
      </c>
      <c r="P268" s="102">
        <v>0.7605</v>
      </c>
      <c r="Q268" s="102">
        <v>0.7609</v>
      </c>
      <c r="R268" s="102">
        <v>0.7717</v>
      </c>
      <c r="S268" s="102">
        <v>0.7731</v>
      </c>
      <c r="T268" s="102">
        <v>0.7688</v>
      </c>
      <c r="U268" s="102">
        <v>0.7717</v>
      </c>
      <c r="V268" s="102">
        <v>0.7744</v>
      </c>
    </row>
    <row r="269" ht="15" spans="1:22">
      <c r="A269" s="98"/>
      <c r="B269" s="99">
        <v>19</v>
      </c>
      <c r="C269" s="102">
        <v>0.7252</v>
      </c>
      <c r="D269" s="102">
        <v>0.7333</v>
      </c>
      <c r="E269" s="102">
        <v>0.7365</v>
      </c>
      <c r="F269" s="102">
        <v>0.7413</v>
      </c>
      <c r="G269" s="102">
        <v>0.7419</v>
      </c>
      <c r="H269" s="102">
        <v>0.7502</v>
      </c>
      <c r="I269" s="102">
        <v>0.7554</v>
      </c>
      <c r="J269" s="102">
        <v>0.7536</v>
      </c>
      <c r="K269" s="102">
        <v>0.7557</v>
      </c>
      <c r="L269" s="102">
        <v>0.7526</v>
      </c>
      <c r="M269" s="102">
        <v>0.7632</v>
      </c>
      <c r="N269" s="102">
        <v>0.7662</v>
      </c>
      <c r="O269" s="102">
        <v>0.7608</v>
      </c>
      <c r="P269" s="102">
        <v>0.765</v>
      </c>
      <c r="Q269" s="102">
        <v>0.7638</v>
      </c>
      <c r="R269" s="102">
        <v>0.7763</v>
      </c>
      <c r="S269" s="102">
        <v>0.7766</v>
      </c>
      <c r="T269" s="102">
        <v>0.7726</v>
      </c>
      <c r="U269" s="102">
        <v>0.776</v>
      </c>
      <c r="V269" s="102">
        <v>0.7793</v>
      </c>
    </row>
    <row r="270" ht="15" spans="1:22">
      <c r="A270" s="98"/>
      <c r="B270" s="99">
        <v>20</v>
      </c>
      <c r="C270" s="102">
        <v>0.7339</v>
      </c>
      <c r="D270" s="102">
        <v>0.7422</v>
      </c>
      <c r="E270" s="102">
        <v>0.7444</v>
      </c>
      <c r="F270" s="102">
        <v>0.7467</v>
      </c>
      <c r="G270" s="102">
        <v>0.7453</v>
      </c>
      <c r="H270" s="102">
        <v>0.7522</v>
      </c>
      <c r="I270" s="102">
        <v>0.7581</v>
      </c>
      <c r="J270" s="102">
        <v>0.7541</v>
      </c>
      <c r="K270" s="102">
        <v>0.7561</v>
      </c>
      <c r="L270" s="102">
        <v>0.7548</v>
      </c>
      <c r="M270" s="102">
        <v>0.7661</v>
      </c>
      <c r="N270" s="102">
        <v>0.7691</v>
      </c>
      <c r="O270" s="102">
        <v>0.7644</v>
      </c>
      <c r="P270" s="102">
        <v>0.7682</v>
      </c>
      <c r="Q270" s="102">
        <v>0.7686</v>
      </c>
      <c r="R270" s="102">
        <v>0.7809</v>
      </c>
      <c r="S270" s="102">
        <v>0.7808</v>
      </c>
      <c r="T270" s="102">
        <v>0.7559</v>
      </c>
      <c r="U270" s="102">
        <v>0.7807</v>
      </c>
      <c r="V270" s="102">
        <v>0.7842</v>
      </c>
    </row>
    <row r="271" ht="15" spans="1:22">
      <c r="A271" s="98"/>
      <c r="B271" s="99">
        <v>21</v>
      </c>
      <c r="C271" s="102">
        <v>0.7396</v>
      </c>
      <c r="D271" s="102">
        <v>0.7483</v>
      </c>
      <c r="E271" s="102">
        <v>0.7484</v>
      </c>
      <c r="F271" s="102">
        <v>0.7498</v>
      </c>
      <c r="G271" s="102">
        <v>0.747</v>
      </c>
      <c r="H271" s="102">
        <v>0.756</v>
      </c>
      <c r="I271" s="102">
        <v>0.7597</v>
      </c>
      <c r="J271" s="102">
        <v>0.7552</v>
      </c>
      <c r="K271" s="102">
        <v>0.7574</v>
      </c>
      <c r="L271" s="102">
        <v>0.7565</v>
      </c>
      <c r="M271" s="102">
        <v>0.7698</v>
      </c>
      <c r="N271" s="102">
        <v>0.7714</v>
      </c>
      <c r="O271" s="102">
        <v>0.7675</v>
      </c>
      <c r="P271" s="102">
        <v>0.7711</v>
      </c>
      <c r="Q271" s="102">
        <v>0.7719</v>
      </c>
      <c r="R271" s="102">
        <v>0.7854</v>
      </c>
      <c r="S271" s="102">
        <v>0.7853</v>
      </c>
      <c r="T271" s="102">
        <v>0.7828</v>
      </c>
      <c r="U271" s="102">
        <v>0.7872</v>
      </c>
      <c r="V271" s="102">
        <v>0.7935</v>
      </c>
    </row>
    <row r="272" ht="15" spans="1:22">
      <c r="A272" s="98"/>
      <c r="B272" s="99">
        <v>22</v>
      </c>
      <c r="C272" s="102">
        <v>0.7436</v>
      </c>
      <c r="D272" s="102">
        <v>0.7514</v>
      </c>
      <c r="E272" s="102">
        <v>0.7499</v>
      </c>
      <c r="F272" s="102">
        <v>0.7509</v>
      </c>
      <c r="G272" s="102">
        <v>0.7484</v>
      </c>
      <c r="H272" s="102">
        <v>0.758</v>
      </c>
      <c r="I272" s="102">
        <v>0.7611</v>
      </c>
      <c r="J272" s="102">
        <v>0.7565</v>
      </c>
      <c r="K272" s="102">
        <v>0.7592</v>
      </c>
      <c r="L272" s="102">
        <v>0.7583</v>
      </c>
      <c r="M272" s="102">
        <v>0.7729</v>
      </c>
      <c r="N272" s="102">
        <v>0.7744</v>
      </c>
      <c r="O272" s="102">
        <v>0.7707</v>
      </c>
      <c r="P272" s="102">
        <v>0.774</v>
      </c>
      <c r="Q272" s="102">
        <v>0.7759</v>
      </c>
      <c r="R272" s="102">
        <v>0.792</v>
      </c>
      <c r="S272" s="102">
        <v>0.7896</v>
      </c>
      <c r="T272" s="102">
        <v>0.7871</v>
      </c>
      <c r="U272" s="102">
        <v>0.7961</v>
      </c>
      <c r="V272" s="102">
        <v>0.7975</v>
      </c>
    </row>
    <row r="273" ht="15" spans="1:22">
      <c r="A273" s="98"/>
      <c r="B273" s="99">
        <v>23</v>
      </c>
      <c r="C273" s="102">
        <v>0.746</v>
      </c>
      <c r="D273" s="102">
        <v>0.7538</v>
      </c>
      <c r="E273" s="102">
        <v>0.7505</v>
      </c>
      <c r="F273" s="102">
        <v>0.752</v>
      </c>
      <c r="G273" s="102">
        <v>0.7497</v>
      </c>
      <c r="H273" s="102">
        <v>0.7599</v>
      </c>
      <c r="I273" s="102">
        <v>0.7631</v>
      </c>
      <c r="J273" s="102">
        <v>0.7584</v>
      </c>
      <c r="K273" s="102">
        <v>0.7622</v>
      </c>
      <c r="L273" s="102">
        <v>0.7604</v>
      </c>
      <c r="M273" s="102">
        <v>0.777</v>
      </c>
      <c r="N273" s="102">
        <v>0.7772</v>
      </c>
      <c r="O273" s="102">
        <v>0.7739</v>
      </c>
      <c r="P273" s="102">
        <v>0.7774</v>
      </c>
      <c r="Q273" s="102">
        <v>0.7795</v>
      </c>
      <c r="R273" s="102">
        <v>0.797</v>
      </c>
      <c r="S273" s="102">
        <v>0.7955</v>
      </c>
      <c r="T273" s="102">
        <v>0.7922</v>
      </c>
      <c r="U273" s="102">
        <v>0.8009</v>
      </c>
      <c r="V273" s="102">
        <v>0.803</v>
      </c>
    </row>
    <row r="274" ht="15" spans="1:22">
      <c r="A274" s="98"/>
      <c r="B274" s="99">
        <v>24</v>
      </c>
      <c r="C274" s="102">
        <v>0.7481</v>
      </c>
      <c r="D274" s="102">
        <v>0.7553</v>
      </c>
      <c r="E274" s="102">
        <v>0.7523</v>
      </c>
      <c r="F274" s="102">
        <v>0.7527</v>
      </c>
      <c r="G274" s="102">
        <v>0.7507</v>
      </c>
      <c r="H274" s="102">
        <v>0.7627</v>
      </c>
      <c r="I274" s="102">
        <v>0.7644</v>
      </c>
      <c r="J274" s="102">
        <v>0.7609</v>
      </c>
      <c r="K274" s="102">
        <v>0.764</v>
      </c>
      <c r="L274" s="102">
        <v>0.7634</v>
      </c>
      <c r="M274" s="102">
        <v>0.7803</v>
      </c>
      <c r="N274" s="102">
        <v>0.7806</v>
      </c>
      <c r="O274" s="102">
        <v>0.7773</v>
      </c>
      <c r="P274" s="102">
        <v>0.7812</v>
      </c>
      <c r="Q274" s="102">
        <v>0.7878</v>
      </c>
      <c r="R274" s="102">
        <v>0.8024</v>
      </c>
      <c r="S274" s="102">
        <v>0.8003</v>
      </c>
      <c r="T274" s="102">
        <v>0.7972</v>
      </c>
      <c r="U274" s="102">
        <v>0.8072</v>
      </c>
      <c r="V274" s="102">
        <v>0.8098</v>
      </c>
    </row>
    <row r="275" ht="15" spans="1:22">
      <c r="A275" s="98"/>
      <c r="B275" s="99">
        <v>25</v>
      </c>
      <c r="C275" s="102">
        <v>0.7501</v>
      </c>
      <c r="D275" s="102">
        <v>0.7567</v>
      </c>
      <c r="E275" s="102">
        <v>0.7528</v>
      </c>
      <c r="F275" s="102">
        <v>0.7534</v>
      </c>
      <c r="G275" s="102">
        <v>0.7513</v>
      </c>
      <c r="H275" s="102">
        <v>0.765</v>
      </c>
      <c r="I275" s="102">
        <v>0.7669</v>
      </c>
      <c r="J275" s="102">
        <v>0.7625</v>
      </c>
      <c r="K275" s="102">
        <v>0.7667</v>
      </c>
      <c r="L275" s="102">
        <v>0.7672</v>
      </c>
      <c r="M275" s="102">
        <v>0.7844</v>
      </c>
      <c r="N275" s="102">
        <v>0.7846</v>
      </c>
      <c r="O275" s="102">
        <v>0.7811</v>
      </c>
      <c r="P275" s="102">
        <v>0.785</v>
      </c>
      <c r="Q275" s="102">
        <v>0.7916</v>
      </c>
      <c r="R275" s="102">
        <v>0.8075</v>
      </c>
      <c r="S275" s="102">
        <v>0.8058</v>
      </c>
      <c r="T275" s="102">
        <v>0.8076</v>
      </c>
      <c r="U275" s="102">
        <v>0.8096</v>
      </c>
      <c r="V275" s="102">
        <v>0.8162</v>
      </c>
    </row>
    <row r="278" ht="15" spans="1:22">
      <c r="A278" s="98">
        <v>0.05</v>
      </c>
      <c r="B278" s="99">
        <v>6</v>
      </c>
      <c r="C278" s="102">
        <v>0.4067</v>
      </c>
      <c r="D278" s="102">
        <v>0.4215</v>
      </c>
      <c r="E278" s="102">
        <v>0.4262</v>
      </c>
      <c r="F278" s="102">
        <v>0.4159</v>
      </c>
      <c r="G278" s="102">
        <v>0.3958</v>
      </c>
      <c r="H278" s="102">
        <v>0.4635</v>
      </c>
      <c r="I278" s="102">
        <v>0.4764</v>
      </c>
      <c r="J278" s="102">
        <v>0.4758</v>
      </c>
      <c r="K278" s="102">
        <v>0.4627</v>
      </c>
      <c r="L278" s="102">
        <v>0.4395</v>
      </c>
      <c r="M278" s="102">
        <v>0.5069</v>
      </c>
      <c r="N278" s="102">
        <v>0.516</v>
      </c>
      <c r="O278" s="102">
        <v>0.514</v>
      </c>
      <c r="P278" s="102">
        <v>0.4958</v>
      </c>
      <c r="Q278" s="102">
        <v>0.4685</v>
      </c>
      <c r="R278" s="102">
        <v>0.5412</v>
      </c>
      <c r="S278" s="102">
        <v>0.5473</v>
      </c>
      <c r="T278" s="102">
        <v>0.5421</v>
      </c>
      <c r="U278" s="102">
        <v>0.5232</v>
      </c>
      <c r="V278" s="102">
        <v>0.4914</v>
      </c>
    </row>
    <row r="279" ht="15" spans="1:22">
      <c r="A279" s="98"/>
      <c r="B279" s="99">
        <v>7</v>
      </c>
      <c r="C279" s="102">
        <v>0.4396</v>
      </c>
      <c r="D279" s="102">
        <v>0.4521</v>
      </c>
      <c r="E279" s="102">
        <v>0.4531</v>
      </c>
      <c r="F279" s="102">
        <v>0.4389</v>
      </c>
      <c r="G279" s="102">
        <v>0.4163</v>
      </c>
      <c r="H279" s="102">
        <v>0.4961</v>
      </c>
      <c r="I279" s="102">
        <v>0.5042</v>
      </c>
      <c r="J279" s="102">
        <v>0.5015</v>
      </c>
      <c r="K279" s="102">
        <v>0.4861</v>
      </c>
      <c r="L279" s="102">
        <v>0.4588</v>
      </c>
      <c r="M279" s="102">
        <v>0.5348</v>
      </c>
      <c r="N279" s="102">
        <v>0.5425</v>
      </c>
      <c r="O279" s="102">
        <v>0.5371</v>
      </c>
      <c r="P279" s="102">
        <v>0.5171</v>
      </c>
      <c r="Q279" s="102">
        <v>0.4867</v>
      </c>
      <c r="R279" s="102">
        <v>0.5683</v>
      </c>
      <c r="S279" s="102">
        <v>0.5722</v>
      </c>
      <c r="T279" s="102">
        <v>0.5648</v>
      </c>
      <c r="U279" s="102">
        <v>0.5438</v>
      </c>
      <c r="V279" s="102">
        <v>0.509</v>
      </c>
    </row>
    <row r="280" ht="15" spans="1:22">
      <c r="A280" s="98"/>
      <c r="B280" s="99">
        <v>8</v>
      </c>
      <c r="C280" s="102">
        <v>0.4648</v>
      </c>
      <c r="D280" s="102">
        <v>0.4761</v>
      </c>
      <c r="E280" s="102">
        <v>0.4757</v>
      </c>
      <c r="F280" s="102">
        <v>0.4586</v>
      </c>
      <c r="G280" s="102">
        <v>0.4324</v>
      </c>
      <c r="H280" s="102">
        <v>0.5198</v>
      </c>
      <c r="I280" s="102">
        <v>0.5252</v>
      </c>
      <c r="J280" s="102">
        <v>0.5218</v>
      </c>
      <c r="K280" s="102">
        <v>0.5023</v>
      </c>
      <c r="L280" s="102">
        <v>0.4739</v>
      </c>
      <c r="M280" s="102">
        <v>0.5569</v>
      </c>
      <c r="N280" s="102">
        <v>0.5626</v>
      </c>
      <c r="O280" s="102">
        <v>0.5562</v>
      </c>
      <c r="P280" s="102">
        <v>0.5349</v>
      </c>
      <c r="Q280" s="102">
        <v>0.5008</v>
      </c>
      <c r="R280" s="102">
        <v>0.5895</v>
      </c>
      <c r="S280" s="102">
        <v>0.5909</v>
      </c>
      <c r="T280" s="102">
        <v>0.5831</v>
      </c>
      <c r="U280" s="102">
        <v>0.5594</v>
      </c>
      <c r="V280" s="102">
        <v>0.5226</v>
      </c>
    </row>
    <row r="281" ht="15" spans="1:22">
      <c r="A281" s="98"/>
      <c r="B281" s="99">
        <v>9</v>
      </c>
      <c r="C281" s="102">
        <v>0.4878</v>
      </c>
      <c r="D281" s="102">
        <v>0.495</v>
      </c>
      <c r="E281" s="102">
        <v>0.4916</v>
      </c>
      <c r="F281" s="102">
        <v>0.4724</v>
      </c>
      <c r="G281" s="102">
        <v>0.4461</v>
      </c>
      <c r="H281" s="102">
        <v>0.5399</v>
      </c>
      <c r="I281" s="102">
        <v>0.544</v>
      </c>
      <c r="J281" s="102">
        <v>0.5375</v>
      </c>
      <c r="K281" s="102">
        <v>0.5167</v>
      </c>
      <c r="L281" s="102">
        <v>0.4863</v>
      </c>
      <c r="M281" s="102">
        <v>0.5764</v>
      </c>
      <c r="N281" s="102">
        <v>0.5784</v>
      </c>
      <c r="O281" s="102">
        <v>0.5707</v>
      </c>
      <c r="P281" s="102">
        <v>0.5482</v>
      </c>
      <c r="Q281" s="102">
        <v>0.5128</v>
      </c>
      <c r="R281" s="102">
        <v>0.6065</v>
      </c>
      <c r="S281" s="102">
        <v>0.6067</v>
      </c>
      <c r="T281" s="102">
        <v>0.5971</v>
      </c>
      <c r="U281" s="102">
        <v>0.5739</v>
      </c>
      <c r="V281" s="102">
        <v>0.5503</v>
      </c>
    </row>
    <row r="282" ht="15" spans="1:22">
      <c r="A282" s="98"/>
      <c r="B282" s="99">
        <v>10</v>
      </c>
      <c r="C282" s="102">
        <v>0.5078</v>
      </c>
      <c r="D282" s="102">
        <v>0.5121</v>
      </c>
      <c r="E282" s="102">
        <v>0.5045</v>
      </c>
      <c r="F282" s="102">
        <v>0.4853</v>
      </c>
      <c r="G282" s="102">
        <v>0.4587</v>
      </c>
      <c r="H282" s="102">
        <v>0.5582</v>
      </c>
      <c r="I282" s="102">
        <v>0.5597</v>
      </c>
      <c r="J282" s="102">
        <v>0.5492</v>
      </c>
      <c r="K282" s="102">
        <v>0.5298</v>
      </c>
      <c r="L282" s="102">
        <v>0.4978</v>
      </c>
      <c r="M282" s="102">
        <v>0.5931</v>
      </c>
      <c r="N282" s="102">
        <v>0.5932</v>
      </c>
      <c r="O282" s="102">
        <v>0.5846</v>
      </c>
      <c r="P282" s="102">
        <v>0.5607</v>
      </c>
      <c r="Q282" s="102">
        <v>0.5276</v>
      </c>
      <c r="R282" s="102">
        <v>0.6217</v>
      </c>
      <c r="S282" s="102">
        <v>0.6211</v>
      </c>
      <c r="T282" s="102">
        <v>0.6116</v>
      </c>
      <c r="U282" s="102">
        <v>0.5873</v>
      </c>
      <c r="V282" s="102">
        <v>0.5798</v>
      </c>
    </row>
    <row r="283" ht="15" spans="1:22">
      <c r="A283" s="98"/>
      <c r="B283" s="99">
        <v>11</v>
      </c>
      <c r="C283" s="102">
        <v>0.5243</v>
      </c>
      <c r="D283" s="102">
        <v>0.5276</v>
      </c>
      <c r="E283" s="102">
        <v>0.5177</v>
      </c>
      <c r="F283" s="102">
        <v>0.4965</v>
      </c>
      <c r="G283" s="102">
        <v>0.4697</v>
      </c>
      <c r="H283" s="102">
        <v>0.5723</v>
      </c>
      <c r="I283" s="102">
        <v>0.5751</v>
      </c>
      <c r="J283" s="102">
        <v>0.5619</v>
      </c>
      <c r="K283" s="102">
        <v>0.5413</v>
      </c>
      <c r="L283" s="102">
        <v>0.5085</v>
      </c>
      <c r="M283" s="102">
        <v>0.6058</v>
      </c>
      <c r="N283" s="102">
        <v>0.6068</v>
      </c>
      <c r="O283" s="102">
        <v>0.5966</v>
      </c>
      <c r="P283" s="102">
        <v>0.5727</v>
      </c>
      <c r="Q283" s="102">
        <v>0.5549</v>
      </c>
      <c r="R283" s="102">
        <v>0.6346</v>
      </c>
      <c r="S283" s="102">
        <v>0.6349</v>
      </c>
      <c r="T283" s="102">
        <v>0.6246</v>
      </c>
      <c r="U283" s="102">
        <v>0.5985</v>
      </c>
      <c r="V283" s="102">
        <v>0.6073</v>
      </c>
    </row>
    <row r="284" ht="15" spans="1:22">
      <c r="A284" s="98"/>
      <c r="B284" s="99">
        <v>12</v>
      </c>
      <c r="C284" s="102">
        <v>0.5383</v>
      </c>
      <c r="D284" s="102">
        <v>0.5425</v>
      </c>
      <c r="E284" s="102">
        <v>0.5307</v>
      </c>
      <c r="F284" s="102">
        <v>0.5081</v>
      </c>
      <c r="G284" s="102">
        <v>0.4791</v>
      </c>
      <c r="H284" s="102">
        <v>0.5873</v>
      </c>
      <c r="I284" s="102">
        <v>0.5884</v>
      </c>
      <c r="J284" s="102">
        <v>0.575</v>
      </c>
      <c r="K284" s="102">
        <v>0.5527</v>
      </c>
      <c r="L284" s="102">
        <v>0.5171</v>
      </c>
      <c r="M284" s="102">
        <v>0.6179</v>
      </c>
      <c r="N284" s="102">
        <v>0.6177</v>
      </c>
      <c r="O284" s="102">
        <v>0.6082</v>
      </c>
      <c r="P284" s="102">
        <v>0.5837</v>
      </c>
      <c r="Q284" s="102">
        <v>0.5792</v>
      </c>
      <c r="R284" s="102">
        <v>0.6458</v>
      </c>
      <c r="S284" s="102">
        <v>0.6481</v>
      </c>
      <c r="T284" s="102">
        <v>0.637</v>
      </c>
      <c r="U284" s="102">
        <v>0.6191</v>
      </c>
      <c r="V284" s="102">
        <v>0.6325</v>
      </c>
    </row>
    <row r="285" ht="15" spans="1:22">
      <c r="A285" s="98"/>
      <c r="B285" s="99">
        <v>13</v>
      </c>
      <c r="C285" s="102">
        <v>0.5587</v>
      </c>
      <c r="D285" s="102">
        <v>0.5641</v>
      </c>
      <c r="E285" s="102">
        <v>0.5545</v>
      </c>
      <c r="F285" s="102">
        <v>0.5286</v>
      </c>
      <c r="G285" s="102">
        <v>0.4918</v>
      </c>
      <c r="H285" s="102">
        <v>0.607</v>
      </c>
      <c r="I285" s="102">
        <v>0.6087</v>
      </c>
      <c r="J285" s="102">
        <v>0.5968</v>
      </c>
      <c r="K285" s="102">
        <v>0.5691</v>
      </c>
      <c r="L285" s="102">
        <v>0.541</v>
      </c>
      <c r="M285" s="102">
        <v>0.6426</v>
      </c>
      <c r="N285" s="102">
        <v>0.641</v>
      </c>
      <c r="O285" s="102">
        <v>0.6285</v>
      </c>
      <c r="P285" s="102">
        <v>0.5964</v>
      </c>
      <c r="Q285" s="102">
        <v>0.604</v>
      </c>
      <c r="R285" s="102">
        <v>0.6705</v>
      </c>
      <c r="S285" s="102">
        <v>0.6676</v>
      </c>
      <c r="T285" s="102">
        <v>0.653</v>
      </c>
      <c r="U285" s="102">
        <v>0.6444</v>
      </c>
      <c r="V285" s="102">
        <v>0.6565</v>
      </c>
    </row>
    <row r="286" ht="15" spans="1:22">
      <c r="A286" s="98"/>
      <c r="B286" s="99">
        <v>14</v>
      </c>
      <c r="C286" s="102">
        <v>0.5721</v>
      </c>
      <c r="D286" s="102">
        <v>0.5756</v>
      </c>
      <c r="E286" s="102">
        <v>0.565</v>
      </c>
      <c r="F286" s="102">
        <v>0.5384</v>
      </c>
      <c r="G286" s="102">
        <v>0.5</v>
      </c>
      <c r="H286" s="102">
        <v>0.6186</v>
      </c>
      <c r="I286" s="102">
        <v>0.6197</v>
      </c>
      <c r="J286" s="102">
        <v>0.6071</v>
      </c>
      <c r="K286" s="102">
        <v>0.5777</v>
      </c>
      <c r="L286" s="102">
        <v>0.5628</v>
      </c>
      <c r="M286" s="102">
        <v>0.6548</v>
      </c>
      <c r="N286" s="102">
        <v>0.652</v>
      </c>
      <c r="O286" s="102">
        <v>0.6375</v>
      </c>
      <c r="P286" s="102">
        <v>0.6114</v>
      </c>
      <c r="Q286" s="102">
        <v>0.6253</v>
      </c>
      <c r="R286" s="102">
        <v>0.6805</v>
      </c>
      <c r="S286" s="102">
        <v>0.6769</v>
      </c>
      <c r="T286" s="102">
        <v>0.6614</v>
      </c>
      <c r="U286" s="102">
        <v>0.6658</v>
      </c>
      <c r="V286" s="102">
        <v>0.6774</v>
      </c>
    </row>
    <row r="287" ht="15" spans="1:22">
      <c r="A287" s="98"/>
      <c r="B287" s="99">
        <v>15</v>
      </c>
      <c r="C287" s="102">
        <v>0.5843</v>
      </c>
      <c r="D287" s="102">
        <v>0.5852</v>
      </c>
      <c r="E287" s="102">
        <v>0.5751</v>
      </c>
      <c r="F287" s="102">
        <v>0.5457</v>
      </c>
      <c r="G287" s="102">
        <v>0.5064</v>
      </c>
      <c r="H287" s="102">
        <v>0.6298</v>
      </c>
      <c r="I287" s="102">
        <v>0.6302</v>
      </c>
      <c r="J287" s="102">
        <v>0.6165</v>
      </c>
      <c r="K287" s="102">
        <v>0.5856</v>
      </c>
      <c r="L287" s="102">
        <v>0.5815</v>
      </c>
      <c r="M287" s="102">
        <v>0.6634</v>
      </c>
      <c r="N287" s="102">
        <v>0.661</v>
      </c>
      <c r="O287" s="102">
        <v>0.6456</v>
      </c>
      <c r="P287" s="102">
        <v>0.6321</v>
      </c>
      <c r="Q287" s="102">
        <v>0.6444</v>
      </c>
      <c r="R287" s="102">
        <v>0.6894</v>
      </c>
      <c r="S287" s="102">
        <v>0.6858</v>
      </c>
      <c r="T287" s="102">
        <v>0.6768</v>
      </c>
      <c r="U287" s="102">
        <v>0.6858</v>
      </c>
      <c r="V287" s="102">
        <v>0.6966</v>
      </c>
    </row>
    <row r="288" ht="15" spans="1:22">
      <c r="A288" s="98"/>
      <c r="B288" s="99">
        <v>16</v>
      </c>
      <c r="C288" s="102">
        <v>0.5952</v>
      </c>
      <c r="D288" s="102">
        <v>0.5954</v>
      </c>
      <c r="E288" s="102">
        <v>0.5843</v>
      </c>
      <c r="F288" s="102">
        <v>0.5534</v>
      </c>
      <c r="G288" s="102">
        <v>0.5178</v>
      </c>
      <c r="H288" s="102">
        <v>0.639</v>
      </c>
      <c r="I288" s="102">
        <v>0.6385</v>
      </c>
      <c r="J288" s="102">
        <v>0.6244</v>
      </c>
      <c r="K288" s="102">
        <v>0.5932</v>
      </c>
      <c r="L288" s="102">
        <v>0.6001</v>
      </c>
      <c r="M288" s="102">
        <v>0.6721</v>
      </c>
      <c r="N288" s="102">
        <v>0.6695</v>
      </c>
      <c r="O288" s="102">
        <v>0.6531</v>
      </c>
      <c r="P288" s="102">
        <v>0.6508</v>
      </c>
      <c r="Q288" s="102">
        <v>0.6631</v>
      </c>
      <c r="R288" s="102">
        <v>0.6981</v>
      </c>
      <c r="S288" s="102">
        <v>0.6933</v>
      </c>
      <c r="T288" s="102">
        <v>0.6957</v>
      </c>
      <c r="U288" s="102">
        <v>0.7033</v>
      </c>
      <c r="V288" s="102">
        <v>0.7122</v>
      </c>
    </row>
    <row r="289" ht="15" spans="1:22">
      <c r="A289" s="98"/>
      <c r="B289" s="99">
        <v>17</v>
      </c>
      <c r="C289" s="102">
        <v>0.6046</v>
      </c>
      <c r="D289" s="102">
        <v>0.6048</v>
      </c>
      <c r="E289" s="102">
        <v>0.5921</v>
      </c>
      <c r="F289" s="102">
        <v>0.5603</v>
      </c>
      <c r="G289" s="102">
        <v>0.5346</v>
      </c>
      <c r="H289" s="102">
        <v>0.6484</v>
      </c>
      <c r="I289" s="102">
        <v>0.6467</v>
      </c>
      <c r="J289" s="102">
        <v>0.6316</v>
      </c>
      <c r="K289" s="102">
        <v>0.6035</v>
      </c>
      <c r="L289" s="102">
        <v>0.6177</v>
      </c>
      <c r="M289" s="102">
        <v>0.6807</v>
      </c>
      <c r="N289" s="102">
        <v>0.6769</v>
      </c>
      <c r="O289" s="102">
        <v>0.66</v>
      </c>
      <c r="P289" s="102">
        <v>0.6682</v>
      </c>
      <c r="Q289" s="102">
        <v>0.6798</v>
      </c>
      <c r="R289" s="102">
        <v>0.7071</v>
      </c>
      <c r="S289" s="102">
        <v>0.708</v>
      </c>
      <c r="T289" s="102">
        <v>0.7122</v>
      </c>
      <c r="U289" s="102">
        <v>0.7189</v>
      </c>
      <c r="V289" s="102">
        <v>0.7267</v>
      </c>
    </row>
    <row r="290" ht="15" spans="1:22">
      <c r="A290" s="98"/>
      <c r="B290" s="99">
        <v>18</v>
      </c>
      <c r="C290" s="102">
        <v>0.6133</v>
      </c>
      <c r="D290" s="102">
        <v>0.6128</v>
      </c>
      <c r="E290" s="102">
        <v>0.5998</v>
      </c>
      <c r="F290" s="102">
        <v>0.567</v>
      </c>
      <c r="G290" s="102">
        <v>0.5506</v>
      </c>
      <c r="H290" s="102">
        <v>0.6561</v>
      </c>
      <c r="I290" s="102">
        <v>0.6545</v>
      </c>
      <c r="J290" s="102">
        <v>0.6387</v>
      </c>
      <c r="K290" s="102">
        <v>0.6206</v>
      </c>
      <c r="L290" s="102">
        <v>0.6337</v>
      </c>
      <c r="M290" s="102">
        <v>0.6871</v>
      </c>
      <c r="N290" s="102">
        <v>0.6843</v>
      </c>
      <c r="O290" s="102">
        <v>0.6752</v>
      </c>
      <c r="P290" s="102">
        <v>0.6846</v>
      </c>
      <c r="Q290" s="102">
        <v>0.6953</v>
      </c>
      <c r="R290" s="102">
        <v>0.7167</v>
      </c>
      <c r="S290" s="102">
        <v>0.7232</v>
      </c>
      <c r="T290" s="102">
        <v>0.7267</v>
      </c>
      <c r="U290" s="102">
        <v>0.732</v>
      </c>
      <c r="V290" s="102">
        <v>0.7357</v>
      </c>
    </row>
    <row r="291" ht="15" spans="1:22">
      <c r="A291" s="98"/>
      <c r="B291" s="99">
        <v>19</v>
      </c>
      <c r="C291" s="102">
        <v>0.6218</v>
      </c>
      <c r="D291" s="102">
        <v>0.6215</v>
      </c>
      <c r="E291" s="102">
        <v>0.607</v>
      </c>
      <c r="F291" s="102">
        <v>0.5733</v>
      </c>
      <c r="G291" s="102">
        <v>0.5652</v>
      </c>
      <c r="H291" s="102">
        <v>0.6634</v>
      </c>
      <c r="I291" s="102">
        <v>0.6617</v>
      </c>
      <c r="J291" s="102">
        <v>0.6465</v>
      </c>
      <c r="K291" s="102">
        <v>0.6367</v>
      </c>
      <c r="L291" s="102">
        <v>0.6487</v>
      </c>
      <c r="M291" s="102">
        <v>0.694</v>
      </c>
      <c r="N291" s="102">
        <v>0.69</v>
      </c>
      <c r="O291" s="102">
        <v>0.6913</v>
      </c>
      <c r="P291" s="102">
        <v>0.699</v>
      </c>
      <c r="Q291" s="102">
        <v>0.7087</v>
      </c>
      <c r="R291" s="102">
        <v>0.7269</v>
      </c>
      <c r="S291" s="102">
        <v>0.7341</v>
      </c>
      <c r="T291" s="102">
        <v>0.7378</v>
      </c>
      <c r="U291" s="102">
        <v>0.7412</v>
      </c>
      <c r="V291" s="102">
        <v>0.7414</v>
      </c>
    </row>
    <row r="292" ht="15" spans="1:22">
      <c r="A292" s="98"/>
      <c r="B292" s="99">
        <v>20</v>
      </c>
      <c r="C292" s="102">
        <v>0.63</v>
      </c>
      <c r="D292" s="102">
        <v>0.6279</v>
      </c>
      <c r="E292" s="102">
        <v>0.6148</v>
      </c>
      <c r="F292" s="102">
        <v>0.5786</v>
      </c>
      <c r="G292" s="102">
        <v>0.5803</v>
      </c>
      <c r="H292" s="102">
        <v>0.6705</v>
      </c>
      <c r="I292" s="102">
        <v>0.6678</v>
      </c>
      <c r="J292" s="102">
        <v>0.6524</v>
      </c>
      <c r="K292" s="102">
        <v>0.6508</v>
      </c>
      <c r="L292" s="102">
        <v>0.6637</v>
      </c>
      <c r="M292" s="102">
        <v>0.7013</v>
      </c>
      <c r="N292" s="102">
        <v>0.702</v>
      </c>
      <c r="O292" s="102">
        <v>0.7051</v>
      </c>
      <c r="P292" s="102">
        <v>0.7131</v>
      </c>
      <c r="Q292" s="102">
        <v>0.7209</v>
      </c>
      <c r="R292" s="102">
        <v>0.7339</v>
      </c>
      <c r="S292" s="102">
        <v>0.7428</v>
      </c>
      <c r="T292" s="102">
        <v>0.744</v>
      </c>
      <c r="U292" s="102">
        <v>0.7462</v>
      </c>
      <c r="V292" s="102">
        <v>0.7445</v>
      </c>
    </row>
    <row r="293" ht="15" spans="1:22">
      <c r="A293" s="98"/>
      <c r="B293" s="99">
        <v>21</v>
      </c>
      <c r="C293" s="102">
        <v>0.6373</v>
      </c>
      <c r="D293" s="102">
        <v>0.6348</v>
      </c>
      <c r="E293" s="102">
        <v>0.6201</v>
      </c>
      <c r="F293" s="102">
        <v>0.5848</v>
      </c>
      <c r="G293" s="102">
        <v>0.5934</v>
      </c>
      <c r="H293" s="102">
        <v>0.6774</v>
      </c>
      <c r="I293" s="102">
        <v>0.6748</v>
      </c>
      <c r="J293" s="102">
        <v>0.658</v>
      </c>
      <c r="K293" s="102">
        <v>0.6648</v>
      </c>
      <c r="L293" s="102">
        <v>0.6771</v>
      </c>
      <c r="M293" s="102">
        <v>0.7098</v>
      </c>
      <c r="N293" s="102">
        <v>0.7144</v>
      </c>
      <c r="O293" s="102">
        <v>0.7186</v>
      </c>
      <c r="P293" s="102">
        <v>0.7242</v>
      </c>
      <c r="Q293" s="102">
        <v>0.7299</v>
      </c>
      <c r="R293" s="102">
        <v>0.7394</v>
      </c>
      <c r="S293" s="102">
        <v>0.7485</v>
      </c>
      <c r="T293" s="102">
        <v>0.7474</v>
      </c>
      <c r="U293" s="102">
        <v>0.7496</v>
      </c>
      <c r="V293" s="102">
        <v>0.7461</v>
      </c>
    </row>
    <row r="294" ht="15" spans="1:22">
      <c r="A294" s="98"/>
      <c r="B294" s="99">
        <v>22</v>
      </c>
      <c r="C294" s="102">
        <v>0.6437</v>
      </c>
      <c r="D294" s="102">
        <v>0.641</v>
      </c>
      <c r="E294" s="102">
        <v>0.6253</v>
      </c>
      <c r="F294" s="102">
        <v>0.5911</v>
      </c>
      <c r="G294" s="102">
        <v>0.6067</v>
      </c>
      <c r="H294" s="102">
        <v>0.6829</v>
      </c>
      <c r="I294" s="102">
        <v>0.68</v>
      </c>
      <c r="J294" s="102">
        <v>0.6701</v>
      </c>
      <c r="K294" s="102">
        <v>0.6784</v>
      </c>
      <c r="L294" s="102">
        <v>0.6895</v>
      </c>
      <c r="M294" s="102">
        <v>0.7179</v>
      </c>
      <c r="N294" s="102">
        <v>0.726</v>
      </c>
      <c r="O294" s="102">
        <v>0.7289</v>
      </c>
      <c r="P294" s="102">
        <v>0.7338</v>
      </c>
      <c r="Q294" s="102">
        <v>0.7362</v>
      </c>
      <c r="R294" s="102">
        <v>0.7426</v>
      </c>
      <c r="S294" s="102">
        <v>0.7518</v>
      </c>
      <c r="T294" s="102">
        <v>0.7495</v>
      </c>
      <c r="U294" s="102">
        <v>0.7507</v>
      </c>
      <c r="V294" s="102">
        <v>0.7477</v>
      </c>
    </row>
    <row r="295" ht="15" spans="1:22">
      <c r="A295" s="98"/>
      <c r="B295" s="99">
        <v>23</v>
      </c>
      <c r="C295" s="102">
        <v>0.6508</v>
      </c>
      <c r="D295" s="102">
        <v>0.6477</v>
      </c>
      <c r="E295" s="102">
        <v>0.6312</v>
      </c>
      <c r="F295" s="102">
        <v>0.6042</v>
      </c>
      <c r="G295" s="102">
        <v>0.6195</v>
      </c>
      <c r="H295" s="102">
        <v>0.6887</v>
      </c>
      <c r="I295" s="102">
        <v>0.6851</v>
      </c>
      <c r="J295" s="102">
        <v>0.6822</v>
      </c>
      <c r="K295" s="102">
        <v>0.6908</v>
      </c>
      <c r="L295" s="102">
        <v>0.7005</v>
      </c>
      <c r="M295" s="102">
        <v>0.725</v>
      </c>
      <c r="N295" s="102">
        <v>0.7337</v>
      </c>
      <c r="O295" s="102">
        <v>0.737</v>
      </c>
      <c r="P295" s="102">
        <v>0.741</v>
      </c>
      <c r="Q295" s="102">
        <v>0.7406</v>
      </c>
      <c r="R295" s="102">
        <v>0.7457</v>
      </c>
      <c r="S295" s="102">
        <v>0.7543</v>
      </c>
      <c r="T295" s="102">
        <v>0.7509</v>
      </c>
      <c r="U295" s="102">
        <v>0.7525</v>
      </c>
      <c r="V295" s="102">
        <v>0.7491</v>
      </c>
    </row>
    <row r="296" ht="15" spans="1:22">
      <c r="A296" s="98"/>
      <c r="B296" s="99">
        <v>24</v>
      </c>
      <c r="C296" s="102">
        <v>0.6555</v>
      </c>
      <c r="D296" s="102">
        <v>0.6531</v>
      </c>
      <c r="E296" s="102">
        <v>0.6367</v>
      </c>
      <c r="F296" s="102">
        <v>0.6169</v>
      </c>
      <c r="G296" s="102">
        <v>0.6314</v>
      </c>
      <c r="H296" s="102">
        <v>0.6941</v>
      </c>
      <c r="I296" s="102">
        <v>0.6911</v>
      </c>
      <c r="J296" s="102">
        <v>0.694</v>
      </c>
      <c r="K296" s="102">
        <v>0.7024</v>
      </c>
      <c r="L296" s="102">
        <v>0.7109</v>
      </c>
      <c r="M296" s="102">
        <v>0.7309</v>
      </c>
      <c r="N296" s="102">
        <v>0.7404</v>
      </c>
      <c r="O296" s="102">
        <v>0.7422</v>
      </c>
      <c r="P296" s="102">
        <v>0.7446</v>
      </c>
      <c r="Q296" s="102">
        <v>0.7425</v>
      </c>
      <c r="R296" s="102">
        <v>0.7476</v>
      </c>
      <c r="S296" s="102">
        <v>0.7552</v>
      </c>
      <c r="T296" s="102">
        <v>0.7516</v>
      </c>
      <c r="U296" s="102">
        <v>0.7533</v>
      </c>
      <c r="V296" s="102">
        <v>0.7501</v>
      </c>
    </row>
    <row r="297" ht="15" spans="1:22">
      <c r="A297" s="98"/>
      <c r="B297" s="99">
        <v>25</v>
      </c>
      <c r="C297" s="102">
        <v>0.6611</v>
      </c>
      <c r="D297" s="102">
        <v>0.6587</v>
      </c>
      <c r="E297" s="102">
        <v>0.6416</v>
      </c>
      <c r="F297" s="102">
        <v>0.6287</v>
      </c>
      <c r="G297" s="102">
        <v>0.6428</v>
      </c>
      <c r="H297" s="102">
        <v>0.7</v>
      </c>
      <c r="I297" s="102">
        <v>0.7023</v>
      </c>
      <c r="J297" s="102">
        <v>0.705</v>
      </c>
      <c r="K297" s="102">
        <v>0.713</v>
      </c>
      <c r="L297" s="102">
        <v>0.7202</v>
      </c>
      <c r="M297" s="102">
        <v>0.7352</v>
      </c>
      <c r="N297" s="102">
        <v>0.7453</v>
      </c>
      <c r="O297" s="102">
        <v>0.7451</v>
      </c>
      <c r="P297" s="102">
        <v>0.7471</v>
      </c>
      <c r="Q297" s="102">
        <v>0.7444</v>
      </c>
      <c r="R297" s="102">
        <v>0.7498</v>
      </c>
      <c r="S297" s="102">
        <v>0.7564</v>
      </c>
      <c r="T297" s="102">
        <v>0.7523</v>
      </c>
      <c r="U297" s="102">
        <v>0.754</v>
      </c>
      <c r="V297" s="102">
        <v>0.7516</v>
      </c>
    </row>
  </sheetData>
  <mergeCells count="43">
    <mergeCell ref="A9:V9"/>
    <mergeCell ref="C11:G11"/>
    <mergeCell ref="H11:L11"/>
    <mergeCell ref="M11:Q11"/>
    <mergeCell ref="R11:V11"/>
    <mergeCell ref="A14:A33"/>
    <mergeCell ref="A36:A55"/>
    <mergeCell ref="A58:A77"/>
    <mergeCell ref="A80:A99"/>
    <mergeCell ref="A102:A121"/>
    <mergeCell ref="A124:A143"/>
    <mergeCell ref="A146:A165"/>
    <mergeCell ref="A168:A187"/>
    <mergeCell ref="A190:A209"/>
    <mergeCell ref="A212:A231"/>
    <mergeCell ref="A234:A253"/>
    <mergeCell ref="A256:A275"/>
    <mergeCell ref="A278:A297"/>
    <mergeCell ref="B1:B2"/>
    <mergeCell ref="E3:E4"/>
    <mergeCell ref="E7:E8"/>
    <mergeCell ref="H1:H2"/>
    <mergeCell ref="H3:H4"/>
    <mergeCell ref="H5:H6"/>
    <mergeCell ref="H7:H8"/>
    <mergeCell ref="K1:K2"/>
    <mergeCell ref="K3:K4"/>
    <mergeCell ref="K5:K6"/>
    <mergeCell ref="K7:K8"/>
    <mergeCell ref="N1:N2"/>
    <mergeCell ref="N3:N4"/>
    <mergeCell ref="N5:N6"/>
    <mergeCell ref="N7:N8"/>
    <mergeCell ref="Q1:Q2"/>
    <mergeCell ref="Q3:Q4"/>
    <mergeCell ref="Q5:Q6"/>
    <mergeCell ref="Q7:Q8"/>
    <mergeCell ref="T1:T2"/>
    <mergeCell ref="T3:T4"/>
    <mergeCell ref="T5:T6"/>
    <mergeCell ref="T7:T8"/>
    <mergeCell ref="W3:W4"/>
    <mergeCell ref="W7:W8"/>
  </mergeCells>
  <pageMargins left="0.7" right="0.7" top="0.75" bottom="0.75" header="0.3" footer="0.3"/>
  <pageSetup paperSize="9" orientation="portrait"/>
  <headerFooter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5"/>
  <dimension ref="A1:AS297"/>
  <sheetViews>
    <sheetView zoomScale="70" zoomScaleNormal="70" topLeftCell="A263" workbookViewId="0">
      <selection activeCell="A11" sqref="A11:N302"/>
    </sheetView>
  </sheetViews>
  <sheetFormatPr defaultColWidth="8.77777777777778" defaultRowHeight="14.4"/>
  <cols>
    <col min="1" max="1" width="8.77777777777778" style="63" customWidth="1"/>
    <col min="2" max="2" width="38.1111111111111" style="63" customWidth="1"/>
    <col min="3" max="26" width="14.6666666666667" style="63" customWidth="1"/>
    <col min="27" max="27" width="12.8888888888889" style="63" customWidth="1"/>
    <col min="28" max="28" width="14.8888888888889" style="63" customWidth="1"/>
    <col min="29" max="29" width="15.4444444444444" style="63" customWidth="1"/>
    <col min="30" max="30" width="21" style="63" customWidth="1"/>
    <col min="31" max="16384" width="8.77777777777778" style="63"/>
  </cols>
  <sheetData>
    <row r="1" s="59" customFormat="1" ht="23.25" customHeight="1" spans="1:45">
      <c r="A1" s="64"/>
      <c r="B1" s="65">
        <f>A14</f>
        <v>0.65</v>
      </c>
      <c r="C1" s="66" t="s">
        <v>3115</v>
      </c>
      <c r="D1" s="66" t="s">
        <v>3008</v>
      </c>
      <c r="E1" s="66" t="s">
        <v>3116</v>
      </c>
      <c r="F1" s="66" t="s">
        <v>3117</v>
      </c>
      <c r="G1" s="67"/>
      <c r="H1" s="68">
        <f>A36</f>
        <v>0.6</v>
      </c>
      <c r="I1" s="66" t="s">
        <v>3117</v>
      </c>
      <c r="J1" s="67"/>
      <c r="K1" s="68">
        <f>A58</f>
        <v>0.55</v>
      </c>
      <c r="L1" s="66" t="s">
        <v>3117</v>
      </c>
      <c r="M1" s="67"/>
      <c r="N1" s="80">
        <f>A80</f>
        <v>0.5</v>
      </c>
      <c r="O1" s="66" t="s">
        <v>3117</v>
      </c>
      <c r="P1" s="67"/>
      <c r="Q1" s="80">
        <f>A102</f>
        <v>0.45</v>
      </c>
      <c r="R1" s="66" t="s">
        <v>3117</v>
      </c>
      <c r="S1" s="67"/>
      <c r="T1" s="80">
        <f>A124</f>
        <v>0.4</v>
      </c>
      <c r="U1" s="66" t="s">
        <v>3117</v>
      </c>
      <c r="V1" s="67"/>
      <c r="W1" s="67"/>
      <c r="X1" s="67"/>
      <c r="Y1" s="67"/>
      <c r="Z1" s="67"/>
      <c r="AA1" s="67"/>
      <c r="AB1" s="67"/>
      <c r="AC1" s="67"/>
      <c r="AD1" s="67"/>
      <c r="AE1" s="67"/>
      <c r="AF1" s="67"/>
      <c r="AG1" s="67"/>
      <c r="AH1" s="67"/>
      <c r="AI1" s="67"/>
      <c r="AJ1" s="67"/>
      <c r="AK1" s="67"/>
      <c r="AL1" s="67"/>
      <c r="AM1" s="67"/>
      <c r="AN1" s="67"/>
      <c r="AO1" s="67"/>
      <c r="AP1" s="67"/>
      <c r="AQ1" s="67"/>
      <c r="AR1" s="67"/>
      <c r="AS1" s="67"/>
    </row>
    <row r="2" s="60" customFormat="1" ht="28.5" customHeight="1" spans="1:45">
      <c r="A2" s="69"/>
      <c r="B2" s="70"/>
      <c r="C2" s="71" t="str">
        <f>IF(OR(亮度與BLU功耗!E16="",亮度與BLU功耗!E18=""),"",亮度與BLU功耗!E16&amp;"*"&amp;亮度與BLU功耗!E18)</f>
        <v>5*11</v>
      </c>
      <c r="D2" s="72">
        <f>亮度與BLU功耗!E21</f>
        <v>22</v>
      </c>
      <c r="E2" s="73" t="str">
        <f>C2</f>
        <v>5*11</v>
      </c>
      <c r="F2" s="73" t="e">
        <f>IF(OR(E2="",E2="Please Check The LED Series",D2="",D2=0),"Please Check LED or Current",INDEX(C14:N33,MATCH(D2,B14:B33,1),MATCH(E2,C13:N13,0)))</f>
        <v>#N/A</v>
      </c>
      <c r="G2" s="74"/>
      <c r="H2" s="75"/>
      <c r="I2" s="73" t="e">
        <f>IF(OR(E2="",E2="Please Check The LED Series",D2="",D2=0),"Please Check LED or Current",INDEX(C36:N55,MATCH(D2,B36:B55,1),MATCH(E2,C13:N13,0)))</f>
        <v>#N/A</v>
      </c>
      <c r="J2" s="74"/>
      <c r="K2" s="75"/>
      <c r="L2" s="73" t="e">
        <f>IF(OR(E2="",E2="Please Check The LED Series",D2="",D2=0),"Please Check LED or Current",INDEX(C58:N77,MATCH(D2,B58:B77,1),MATCH(E2,C13:N13,0)))</f>
        <v>#N/A</v>
      </c>
      <c r="M2" s="74"/>
      <c r="N2" s="75"/>
      <c r="O2" s="73" t="e">
        <f>IF(OR(E2="",E2="Please Check The LED Series",D2="",D2=0),"Please Check LED or Current",INDEX(C80:N99,MATCH(D2,B80:B99,1),MATCH(E2,C13:N13,0)))</f>
        <v>#N/A</v>
      </c>
      <c r="P2" s="74"/>
      <c r="Q2" s="75"/>
      <c r="R2" s="73" t="e">
        <f>IF(OR(E2="",E2="Please Check The LED Series",D2="",D2=0),"Please Check LED or Current",INDEX(C102:N121,MATCH(D2,B102:B121,1),MATCH(E2,C13:N13,0)))</f>
        <v>#N/A</v>
      </c>
      <c r="S2" s="74"/>
      <c r="T2" s="75"/>
      <c r="U2" s="73" t="e">
        <f>IF(OR(E2="",E2="Please Check The LED Series",D2="",D2=0),"Please Check LED or Current",INDEX(C124:N143,MATCH(D2,B124:B143,1),MATCH(E2,C13:N13,0)))</f>
        <v>#N/A</v>
      </c>
      <c r="V2" s="74"/>
      <c r="W2" s="74"/>
      <c r="X2" s="74"/>
      <c r="Y2" s="74"/>
      <c r="Z2" s="74"/>
      <c r="AA2" s="74"/>
      <c r="AB2" s="74"/>
      <c r="AC2" s="74"/>
      <c r="AD2" s="74"/>
      <c r="AE2" s="74"/>
      <c r="AF2" s="74"/>
      <c r="AG2" s="74"/>
      <c r="AH2" s="74"/>
      <c r="AI2" s="74"/>
      <c r="AJ2" s="74"/>
      <c r="AK2" s="74"/>
      <c r="AL2" s="74"/>
      <c r="AM2" s="74"/>
      <c r="AN2" s="74"/>
      <c r="AO2" s="74"/>
      <c r="AP2" s="74"/>
      <c r="AQ2" s="74"/>
      <c r="AR2" s="74"/>
      <c r="AS2" s="74"/>
    </row>
    <row r="3" s="61" customFormat="1" ht="28.5" customHeight="1" spans="1:42">
      <c r="A3" s="76"/>
      <c r="B3" s="77"/>
      <c r="C3" s="78"/>
      <c r="D3" s="79"/>
      <c r="E3" s="80">
        <f>A146</f>
        <v>0.35</v>
      </c>
      <c r="F3" s="66" t="s">
        <v>3117</v>
      </c>
      <c r="G3" s="81"/>
      <c r="H3" s="80">
        <f>A168</f>
        <v>0.3</v>
      </c>
      <c r="I3" s="66" t="s">
        <v>3117</v>
      </c>
      <c r="J3" s="81"/>
      <c r="K3" s="80">
        <f>A190</f>
        <v>0.25</v>
      </c>
      <c r="L3" s="66" t="s">
        <v>3117</v>
      </c>
      <c r="M3" s="81"/>
      <c r="N3" s="80">
        <f>A212</f>
        <v>0.2</v>
      </c>
      <c r="O3" s="66" t="s">
        <v>3117</v>
      </c>
      <c r="P3" s="81"/>
      <c r="Q3" s="80">
        <f>A234</f>
        <v>0.15</v>
      </c>
      <c r="R3" s="66" t="s">
        <v>3117</v>
      </c>
      <c r="S3" s="81"/>
      <c r="T3" s="80">
        <f>A256</f>
        <v>0.1</v>
      </c>
      <c r="U3" s="66" t="s">
        <v>3117</v>
      </c>
      <c r="V3" s="81"/>
      <c r="W3" s="80">
        <f>A278</f>
        <v>0.05</v>
      </c>
      <c r="X3" s="66" t="s">
        <v>3117</v>
      </c>
      <c r="Y3" s="81"/>
      <c r="Z3" s="81"/>
      <c r="AA3" s="81"/>
      <c r="AB3" s="81"/>
      <c r="AC3" s="81"/>
      <c r="AD3" s="81"/>
      <c r="AE3" s="81"/>
      <c r="AF3" s="81"/>
      <c r="AG3" s="81"/>
      <c r="AH3" s="81"/>
      <c r="AI3" s="81"/>
      <c r="AJ3" s="81"/>
      <c r="AK3" s="81"/>
      <c r="AL3" s="81"/>
      <c r="AM3" s="81"/>
      <c r="AN3" s="81"/>
      <c r="AO3" s="81"/>
      <c r="AP3" s="81"/>
    </row>
    <row r="4" s="61" customFormat="1" ht="28.5" customHeight="1" spans="1:42">
      <c r="A4" s="76"/>
      <c r="B4" s="77"/>
      <c r="C4" s="78"/>
      <c r="D4" s="79"/>
      <c r="E4" s="75"/>
      <c r="F4" s="73" t="e">
        <f>IF(OR(E2="",E2="Please Check The LED Series",D2="",D2=0),"Please Check LED or Current",INDEX(C146:N165,MATCH(D2,B146:B165,1),MATCH(E2,C13:N13,0)))</f>
        <v>#N/A</v>
      </c>
      <c r="G4" s="81"/>
      <c r="H4" s="75"/>
      <c r="I4" s="73" t="e">
        <f>IF(OR(E2="",E2="Please Check The LED Series",D2="",D2=0),"Please Check LED or Current",INDEX(C168:N187,MATCH(D2,B168:B187,1),MATCH(E2,C13:N13,0)))</f>
        <v>#N/A</v>
      </c>
      <c r="J4" s="81"/>
      <c r="K4" s="75"/>
      <c r="L4" s="73" t="e">
        <f>IF(OR(E2="",E2="Please Check The LED Series",D2="",D2=0),"Please Check LED or Current",INDEX(C190:N209,MATCH(D2,B190:B209,1),MATCH(E2,C13:N13,0)))</f>
        <v>#N/A</v>
      </c>
      <c r="M4" s="81"/>
      <c r="N4" s="75"/>
      <c r="O4" s="73" t="e">
        <f>IF(OR(E2="",E2="Please Check The LED Series",D2="",D2=0),"Please Check LED or Current",INDEX(C212:N231,MATCH(D2,B212:B231,1),MATCH(E2,C13:N13,0)))</f>
        <v>#N/A</v>
      </c>
      <c r="P4" s="81"/>
      <c r="Q4" s="75"/>
      <c r="R4" s="73" t="e">
        <f>IF(OR(E2="",E2="Please Check The LED Series",D2="",D2=0),"Please Check LED or Current",INDEX(C234:N253,MATCH(D2,B234:B253,1),MATCH(E2,C13:N13,0)))</f>
        <v>#N/A</v>
      </c>
      <c r="S4" s="81"/>
      <c r="T4" s="75"/>
      <c r="U4" s="73" t="e">
        <f>IF(OR(E2="",E2="Please Check The LED Series",D2="",D2=0),"Please Check LED or Current",INDEX(C256:N275,MATCH(D2,B256:B275,1),MATCH(E2,C13:N13,0)))</f>
        <v>#N/A</v>
      </c>
      <c r="V4" s="81"/>
      <c r="W4" s="75"/>
      <c r="X4" s="73" t="e">
        <f>IF(OR(E2="",E2="Please Check The LED Series",D2="",D2=0),"Please Check LED or Current",INDEX(C278:N297,MATCH(D2,B278:B297,1),MATCH(E2,C13:N13,0)))</f>
        <v>#N/A</v>
      </c>
      <c r="Y4" s="81"/>
      <c r="Z4" s="81"/>
      <c r="AA4" s="81"/>
      <c r="AB4" s="81"/>
      <c r="AC4" s="81"/>
      <c r="AD4" s="81"/>
      <c r="AE4" s="81"/>
      <c r="AF4" s="81"/>
      <c r="AG4" s="81"/>
      <c r="AH4" s="81"/>
      <c r="AI4" s="81"/>
      <c r="AJ4" s="81"/>
      <c r="AK4" s="81"/>
      <c r="AL4" s="81"/>
      <c r="AM4" s="81"/>
      <c r="AN4" s="81"/>
      <c r="AO4" s="81"/>
      <c r="AP4" s="81"/>
    </row>
    <row r="5" s="61" customFormat="1" ht="28.5" customHeight="1" spans="1:42">
      <c r="A5" s="76"/>
      <c r="B5" s="77"/>
      <c r="C5" s="66"/>
      <c r="D5" s="66" t="s">
        <v>3008</v>
      </c>
      <c r="E5" s="66" t="s">
        <v>3116</v>
      </c>
      <c r="F5" s="66" t="s">
        <v>3117</v>
      </c>
      <c r="G5" s="67"/>
      <c r="H5" s="68">
        <f>H1</f>
        <v>0.6</v>
      </c>
      <c r="I5" s="66" t="s">
        <v>3117</v>
      </c>
      <c r="J5" s="67"/>
      <c r="K5" s="68">
        <f>K1</f>
        <v>0.55</v>
      </c>
      <c r="L5" s="66" t="s">
        <v>3117</v>
      </c>
      <c r="M5" s="67"/>
      <c r="N5" s="80">
        <f>N1</f>
        <v>0.5</v>
      </c>
      <c r="O5" s="66" t="s">
        <v>3117</v>
      </c>
      <c r="P5" s="67"/>
      <c r="Q5" s="80">
        <f>Q1</f>
        <v>0.45</v>
      </c>
      <c r="R5" s="66" t="s">
        <v>3117</v>
      </c>
      <c r="S5" s="67"/>
      <c r="T5" s="80">
        <f>T1</f>
        <v>0.4</v>
      </c>
      <c r="U5" s="66" t="s">
        <v>3117</v>
      </c>
      <c r="V5" s="67"/>
      <c r="W5" s="67"/>
      <c r="X5" s="67"/>
      <c r="Y5" s="81"/>
      <c r="Z5" s="81"/>
      <c r="AA5" s="81"/>
      <c r="AB5" s="81"/>
      <c r="AC5" s="81"/>
      <c r="AD5" s="81"/>
      <c r="AE5" s="81"/>
      <c r="AF5" s="81"/>
      <c r="AG5" s="81"/>
      <c r="AH5" s="81"/>
      <c r="AI5" s="81"/>
      <c r="AJ5" s="81"/>
      <c r="AK5" s="81"/>
      <c r="AL5" s="81"/>
      <c r="AM5" s="81"/>
      <c r="AN5" s="81"/>
      <c r="AO5" s="81"/>
      <c r="AP5" s="81"/>
    </row>
    <row r="6" s="61" customFormat="1" ht="28.5" customHeight="1" spans="1:42">
      <c r="A6" s="76"/>
      <c r="B6" s="77"/>
      <c r="C6" s="82">
        <f>B1</f>
        <v>0.65</v>
      </c>
      <c r="D6" s="72">
        <f>D2</f>
        <v>22</v>
      </c>
      <c r="E6" s="73" t="str">
        <f>IF(OR(亮度與BLU功耗!E16="",亮度與BLU功耗!E18=""),"",亮度與BLU功耗!E17&amp;"*"&amp;亮度與BLU功耗!E18)</f>
        <v>3*11</v>
      </c>
      <c r="F6" s="73" t="e">
        <f>IF(OR(E2="",E2="Please Check The LED Series",D2="",D2=0),"Please Check LED or Current",INDEX(C14:N33,MATCH(D2,B14:B33,1),MATCH(E6,C13:N13,0)))</f>
        <v>#N/A</v>
      </c>
      <c r="G6" s="74"/>
      <c r="H6" s="75"/>
      <c r="I6" s="73" t="e">
        <f>IF(OR(E2="",E2="Please Check The LED Series",D2="",D2=0),"Please Check LED or Current",INDEX(C36:N55,MATCH(D2,B36:B55,1),MATCH(E6,C13:N13,0)))</f>
        <v>#N/A</v>
      </c>
      <c r="J6" s="74"/>
      <c r="K6" s="75"/>
      <c r="L6" s="73" t="e">
        <f>IF(OR(E2="",E2="Please Check The LED Series",D2="",D2=0),"Please Check LED or Current",INDEX(C58:N77,MATCH(D2,B58:B77,1),MATCH(E6,C13:N13,0)))</f>
        <v>#N/A</v>
      </c>
      <c r="M6" s="74"/>
      <c r="N6" s="75"/>
      <c r="O6" s="73" t="e">
        <f>IF(OR(E2="",E2="Please Check The LED Series",D2="",D2=0),"Please Check LED or Current",INDEX(C80:N99,MATCH(D2,B80:B99,1),MATCH(E6,C13:N13,0)))</f>
        <v>#N/A</v>
      </c>
      <c r="P6" s="74"/>
      <c r="Q6" s="75"/>
      <c r="R6" s="73" t="e">
        <f>IF(OR(E2="",E2="Please Check The LED Series",D2="",D2=0),"Please Check LED or Current",INDEX(C102:N121,MATCH(D2,B102:B121,1),MATCH(E6,C13:N13,0)))</f>
        <v>#N/A</v>
      </c>
      <c r="S6" s="74"/>
      <c r="T6" s="75"/>
      <c r="U6" s="73" t="e">
        <f>IF(OR(E2="",E2="Please Check The LED Series",D2="",D2=0),"Please Check LED or Current",INDEX(C124:N143,MATCH(D2,B124:B143,1),MATCH(E6,C13:N13,0)))</f>
        <v>#N/A</v>
      </c>
      <c r="V6" s="74"/>
      <c r="W6" s="74"/>
      <c r="X6" s="74"/>
      <c r="Y6" s="81"/>
      <c r="Z6" s="81"/>
      <c r="AA6" s="81"/>
      <c r="AB6" s="81"/>
      <c r="AC6" s="81"/>
      <c r="AD6" s="81"/>
      <c r="AE6" s="81"/>
      <c r="AF6" s="81"/>
      <c r="AG6" s="81"/>
      <c r="AH6" s="81"/>
      <c r="AI6" s="81"/>
      <c r="AJ6" s="81"/>
      <c r="AK6" s="81"/>
      <c r="AL6" s="81"/>
      <c r="AM6" s="81"/>
      <c r="AN6" s="81"/>
      <c r="AO6" s="81"/>
      <c r="AP6" s="81"/>
    </row>
    <row r="7" s="61" customFormat="1" ht="28.5" customHeight="1" spans="1:42">
      <c r="A7" s="76"/>
      <c r="B7" s="77"/>
      <c r="C7" s="78"/>
      <c r="D7" s="79"/>
      <c r="E7" s="80">
        <f>E3</f>
        <v>0.35</v>
      </c>
      <c r="F7" s="66" t="s">
        <v>3117</v>
      </c>
      <c r="G7" s="81"/>
      <c r="H7" s="80">
        <f>H3</f>
        <v>0.3</v>
      </c>
      <c r="I7" s="66" t="s">
        <v>3117</v>
      </c>
      <c r="J7" s="81"/>
      <c r="K7" s="80">
        <f>K3</f>
        <v>0.25</v>
      </c>
      <c r="L7" s="66" t="s">
        <v>3117</v>
      </c>
      <c r="M7" s="81"/>
      <c r="N7" s="80">
        <f>N3</f>
        <v>0.2</v>
      </c>
      <c r="O7" s="66" t="s">
        <v>3117</v>
      </c>
      <c r="P7" s="81"/>
      <c r="Q7" s="80">
        <f>Q3</f>
        <v>0.15</v>
      </c>
      <c r="R7" s="66" t="s">
        <v>3117</v>
      </c>
      <c r="S7" s="81"/>
      <c r="T7" s="80">
        <f>T3</f>
        <v>0.1</v>
      </c>
      <c r="U7" s="66" t="s">
        <v>3117</v>
      </c>
      <c r="V7" s="81"/>
      <c r="W7" s="80">
        <f>W3</f>
        <v>0.05</v>
      </c>
      <c r="X7" s="66" t="s">
        <v>3117</v>
      </c>
      <c r="Y7" s="81"/>
      <c r="Z7" s="81"/>
      <c r="AA7" s="81"/>
      <c r="AB7" s="81"/>
      <c r="AC7" s="81"/>
      <c r="AD7" s="81"/>
      <c r="AE7" s="81"/>
      <c r="AF7" s="81"/>
      <c r="AG7" s="81"/>
      <c r="AH7" s="81"/>
      <c r="AI7" s="81"/>
      <c r="AJ7" s="81"/>
      <c r="AK7" s="81"/>
      <c r="AL7" s="81"/>
      <c r="AM7" s="81"/>
      <c r="AN7" s="81"/>
      <c r="AO7" s="81"/>
      <c r="AP7" s="81"/>
    </row>
    <row r="8" s="61" customFormat="1" ht="28.5" customHeight="1" spans="1:42">
      <c r="A8" s="76"/>
      <c r="B8" s="77"/>
      <c r="C8" s="78"/>
      <c r="D8" s="79"/>
      <c r="E8" s="75"/>
      <c r="F8" s="73" t="e">
        <f>IF(OR(E2="",E2="Please Check The LED Series",D2="",D2=0),"Please Check LED or Current",INDEX(C146:N165,MATCH(D2,B146:B165,1),MATCH(E6,C13:N13,0)))</f>
        <v>#N/A</v>
      </c>
      <c r="G8" s="81"/>
      <c r="H8" s="75"/>
      <c r="I8" s="73" t="e">
        <f>IF(OR(E2="",E2="Please Check The LED Series",D2="",D2=0),"Please Check LED or Current",INDEX(C168:N187,MATCH(D2,B168:B187,1),MATCH(E6,C13:N13,0)))</f>
        <v>#N/A</v>
      </c>
      <c r="J8" s="81"/>
      <c r="K8" s="75"/>
      <c r="L8" s="73" t="e">
        <f>IF(OR(E2="",E2="Please Check The LED Series",D2="",D2=0),"Please Check LED or Current",INDEX(C190:N209,MATCH(D2,B190:B209,1),MATCH(E6,C13:N13,0)))</f>
        <v>#N/A</v>
      </c>
      <c r="M8" s="81"/>
      <c r="N8" s="75"/>
      <c r="O8" s="73" t="e">
        <f>IF(OR(E2="",E2="Please Check The LED Series",D2="",D2=0),"Please Check LED or Current",INDEX(C212:N231,MATCH(D2,B212:B231,1),MATCH(E6,C13:N13,0)))</f>
        <v>#N/A</v>
      </c>
      <c r="P8" s="81"/>
      <c r="Q8" s="75"/>
      <c r="R8" s="73" t="e">
        <f>IF(OR(E2="",E2="Please Check The LED Series",D2="",D2=0),"Please Check LED or Current",INDEX(C234:N253,MATCH(D2,B234:B253,1),MATCH(E6,C13:N13,0)))</f>
        <v>#N/A</v>
      </c>
      <c r="S8" s="81"/>
      <c r="T8" s="75"/>
      <c r="U8" s="73" t="e">
        <f>IF(OR(E2="",E2="Please Check The LED Series",D2="",D2=0),"Please Check LED or Current",INDEX(C256:N275,MATCH(D2,B256:B275,1),MATCH(E6,C13:N13,0)))</f>
        <v>#N/A</v>
      </c>
      <c r="V8" s="81"/>
      <c r="W8" s="75"/>
      <c r="X8" s="73" t="e">
        <f>IF(OR(E2="",E2="Please Check The LED Series",D2="",D2=0),"Please Check LED or Current",INDEX(C278:N297,MATCH(D2,B278:B297,1),MATCH(E6,C13:N13,0)))</f>
        <v>#N/A</v>
      </c>
      <c r="Y8" s="81"/>
      <c r="Z8" s="81"/>
      <c r="AA8" s="81"/>
      <c r="AB8" s="81"/>
      <c r="AC8" s="81"/>
      <c r="AD8" s="81"/>
      <c r="AE8" s="81"/>
      <c r="AF8" s="81"/>
      <c r="AG8" s="81"/>
      <c r="AH8" s="81"/>
      <c r="AI8" s="81"/>
      <c r="AJ8" s="81"/>
      <c r="AK8" s="81"/>
      <c r="AL8" s="81"/>
      <c r="AM8" s="81"/>
      <c r="AN8" s="81"/>
      <c r="AO8" s="81"/>
      <c r="AP8" s="81"/>
    </row>
    <row r="9" ht="39.75" customHeight="1" spans="1:22">
      <c r="A9" s="83" t="s">
        <v>3118</v>
      </c>
      <c r="B9" s="83"/>
      <c r="C9" s="83"/>
      <c r="D9" s="83"/>
      <c r="E9" s="83"/>
      <c r="F9" s="83"/>
      <c r="G9" s="83"/>
      <c r="H9" s="83"/>
      <c r="I9" s="83"/>
      <c r="J9" s="83"/>
      <c r="K9" s="83"/>
      <c r="L9" s="83"/>
      <c r="M9" s="83"/>
      <c r="N9" s="83"/>
      <c r="O9" s="83"/>
      <c r="P9" s="83"/>
      <c r="Q9" s="83"/>
      <c r="R9" s="83"/>
      <c r="S9" s="83"/>
      <c r="T9" s="83"/>
      <c r="U9" s="83"/>
      <c r="V9" s="83"/>
    </row>
    <row r="10" ht="8.25" customHeight="1" spans="1:22">
      <c r="A10" s="83"/>
      <c r="B10" s="84"/>
      <c r="C10" s="83"/>
      <c r="D10" s="83"/>
      <c r="E10" s="83"/>
      <c r="F10" s="83"/>
      <c r="G10" s="83"/>
      <c r="H10" s="83"/>
      <c r="I10" s="83"/>
      <c r="J10" s="83"/>
      <c r="K10" s="83"/>
      <c r="L10" s="83"/>
      <c r="M10" s="83"/>
      <c r="N10" s="83"/>
      <c r="O10" s="83"/>
      <c r="P10" s="83"/>
      <c r="Q10" s="83"/>
      <c r="R10" s="83"/>
      <c r="S10" s="83"/>
      <c r="T10" s="83"/>
      <c r="U10" s="83"/>
      <c r="V10" s="83"/>
    </row>
    <row r="11" ht="16.2" spans="2:14">
      <c r="B11" s="85" t="s">
        <v>3119</v>
      </c>
      <c r="C11" s="86">
        <v>3</v>
      </c>
      <c r="D11" s="87"/>
      <c r="E11" s="88"/>
      <c r="F11" s="89">
        <v>4</v>
      </c>
      <c r="G11" s="90"/>
      <c r="H11" s="91"/>
      <c r="I11" s="104">
        <v>5</v>
      </c>
      <c r="J11" s="105"/>
      <c r="K11" s="106"/>
      <c r="L11" s="107">
        <v>6</v>
      </c>
      <c r="M11" s="108"/>
      <c r="N11" s="109"/>
    </row>
    <row r="12" ht="16.2" spans="2:14">
      <c r="B12" s="92" t="s">
        <v>3120</v>
      </c>
      <c r="C12" s="93">
        <v>4</v>
      </c>
      <c r="D12" s="93">
        <v>5</v>
      </c>
      <c r="E12" s="93">
        <v>6</v>
      </c>
      <c r="F12" s="94">
        <v>4</v>
      </c>
      <c r="G12" s="94">
        <v>5</v>
      </c>
      <c r="H12" s="94">
        <v>6</v>
      </c>
      <c r="I12" s="110">
        <v>4</v>
      </c>
      <c r="J12" s="110">
        <v>5</v>
      </c>
      <c r="K12" s="110">
        <v>6</v>
      </c>
      <c r="L12" s="111">
        <v>4</v>
      </c>
      <c r="M12" s="111">
        <v>5</v>
      </c>
      <c r="N12" s="111">
        <v>6</v>
      </c>
    </row>
    <row r="13" ht="40.5" customHeight="1" spans="1:14">
      <c r="A13" s="95" t="s">
        <v>3121</v>
      </c>
      <c r="B13" s="96" t="s">
        <v>3122</v>
      </c>
      <c r="C13" s="97" t="s">
        <v>3147</v>
      </c>
      <c r="D13" s="97" t="s">
        <v>3148</v>
      </c>
      <c r="E13" s="97" t="s">
        <v>3149</v>
      </c>
      <c r="F13" s="97" t="s">
        <v>3150</v>
      </c>
      <c r="G13" s="97" t="s">
        <v>3151</v>
      </c>
      <c r="H13" s="97" t="s">
        <v>3152</v>
      </c>
      <c r="I13" s="97" t="s">
        <v>3153</v>
      </c>
      <c r="J13" s="97" t="s">
        <v>3154</v>
      </c>
      <c r="K13" s="97" t="s">
        <v>3155</v>
      </c>
      <c r="L13" s="97" t="s">
        <v>3156</v>
      </c>
      <c r="M13" s="97" t="s">
        <v>3157</v>
      </c>
      <c r="N13" s="97" t="s">
        <v>3158</v>
      </c>
    </row>
    <row r="14" s="62" customFormat="1" ht="15" spans="1:14">
      <c r="A14" s="98">
        <v>0.65</v>
      </c>
      <c r="B14" s="99">
        <v>6</v>
      </c>
      <c r="C14" s="100">
        <v>0.8299</v>
      </c>
      <c r="D14" s="101">
        <v>0.8118</v>
      </c>
      <c r="E14" s="101">
        <v>0.7999</v>
      </c>
      <c r="F14" s="100">
        <v>0.8369</v>
      </c>
      <c r="G14" s="102">
        <v>0.8272</v>
      </c>
      <c r="H14" s="102">
        <v>0.8163</v>
      </c>
      <c r="I14" s="102">
        <v>0.8506</v>
      </c>
      <c r="J14" s="102">
        <v>0.8395</v>
      </c>
      <c r="K14" s="102">
        <v>0.8303</v>
      </c>
      <c r="L14" s="102">
        <v>0.8683</v>
      </c>
      <c r="M14" s="102">
        <v>0.8516</v>
      </c>
      <c r="N14" s="102">
        <v>0.8345</v>
      </c>
    </row>
    <row r="15" s="62" customFormat="1" ht="15" spans="1:14">
      <c r="A15" s="98"/>
      <c r="B15" s="99">
        <v>7</v>
      </c>
      <c r="C15" s="100">
        <v>0.8378</v>
      </c>
      <c r="D15" s="101">
        <v>0.8196</v>
      </c>
      <c r="E15" s="101">
        <v>0.8094</v>
      </c>
      <c r="F15" s="100">
        <v>0.844</v>
      </c>
      <c r="G15" s="102">
        <v>0.8331</v>
      </c>
      <c r="H15" s="102">
        <v>0.8184</v>
      </c>
      <c r="I15" s="102">
        <v>0.8563</v>
      </c>
      <c r="J15" s="102">
        <v>0.8406</v>
      </c>
      <c r="K15" s="102">
        <v>0.8328</v>
      </c>
      <c r="L15" s="102">
        <v>0.8721</v>
      </c>
      <c r="M15" s="102">
        <v>0.8532</v>
      </c>
      <c r="N15" s="102">
        <v>0.8366</v>
      </c>
    </row>
    <row r="16" s="62" customFormat="1" ht="15" spans="1:14">
      <c r="A16" s="98"/>
      <c r="B16" s="99">
        <v>8</v>
      </c>
      <c r="C16" s="100">
        <v>0.8447</v>
      </c>
      <c r="D16" s="101">
        <v>0.8268</v>
      </c>
      <c r="E16" s="101">
        <v>0.8135</v>
      </c>
      <c r="F16" s="100">
        <v>0.8521</v>
      </c>
      <c r="G16" s="102">
        <v>0.8391</v>
      </c>
      <c r="H16" s="102">
        <v>0.8223</v>
      </c>
      <c r="I16" s="102">
        <v>0.8607</v>
      </c>
      <c r="J16" s="102">
        <v>0.8443</v>
      </c>
      <c r="K16" s="102">
        <v>0.831</v>
      </c>
      <c r="L16" s="102">
        <v>0.8724</v>
      </c>
      <c r="M16" s="102">
        <v>0.855</v>
      </c>
      <c r="N16" s="102">
        <v>0.8261</v>
      </c>
    </row>
    <row r="17" s="62" customFormat="1" ht="15" spans="1:14">
      <c r="A17" s="98"/>
      <c r="B17" s="99">
        <v>9</v>
      </c>
      <c r="C17" s="100">
        <v>0.8494</v>
      </c>
      <c r="D17" s="101">
        <v>0.8303</v>
      </c>
      <c r="E17" s="101">
        <v>0.817</v>
      </c>
      <c r="F17" s="100">
        <v>0.8575</v>
      </c>
      <c r="G17" s="102">
        <v>0.839</v>
      </c>
      <c r="H17" s="102">
        <v>0.8184</v>
      </c>
      <c r="I17" s="102">
        <v>0.8625</v>
      </c>
      <c r="J17" s="102">
        <v>0.8448</v>
      </c>
      <c r="K17" s="102">
        <v>0.8263</v>
      </c>
      <c r="L17" s="102">
        <v>0.8755</v>
      </c>
      <c r="M17" s="102">
        <v>0.8505</v>
      </c>
      <c r="N17" s="102">
        <v>0.8157</v>
      </c>
    </row>
    <row r="18" s="62" customFormat="1" ht="15" spans="1:14">
      <c r="A18" s="98"/>
      <c r="B18" s="99">
        <v>10</v>
      </c>
      <c r="C18" s="100">
        <v>0.8581</v>
      </c>
      <c r="D18" s="101">
        <v>0.8377</v>
      </c>
      <c r="E18" s="101">
        <v>0.8199</v>
      </c>
      <c r="F18" s="100">
        <v>0.8592</v>
      </c>
      <c r="G18" s="102">
        <v>0.8417</v>
      </c>
      <c r="H18" s="102">
        <v>0.8176</v>
      </c>
      <c r="I18" s="102">
        <v>0.8622</v>
      </c>
      <c r="J18" s="102">
        <v>0.8379</v>
      </c>
      <c r="K18" s="102">
        <v>0.8148</v>
      </c>
      <c r="L18" s="102">
        <v>0.8673</v>
      </c>
      <c r="M18" s="102">
        <v>0.8427</v>
      </c>
      <c r="N18" s="102">
        <v>0.8144</v>
      </c>
    </row>
    <row r="19" s="62" customFormat="1" ht="15" spans="1:14">
      <c r="A19" s="98"/>
      <c r="B19" s="99">
        <v>11</v>
      </c>
      <c r="C19" s="100">
        <v>0.8631</v>
      </c>
      <c r="D19" s="101">
        <v>0.8385</v>
      </c>
      <c r="E19" s="101">
        <v>0.8155</v>
      </c>
      <c r="F19" s="100">
        <v>0.8623</v>
      </c>
      <c r="G19" s="102">
        <v>0.8339</v>
      </c>
      <c r="H19" s="102">
        <v>0.8064</v>
      </c>
      <c r="I19" s="102">
        <v>0.8628</v>
      </c>
      <c r="J19" s="102">
        <v>0.8349</v>
      </c>
      <c r="K19" s="102">
        <v>0.8117</v>
      </c>
      <c r="L19" s="102">
        <v>0.8667</v>
      </c>
      <c r="M19" s="102">
        <v>0.8397</v>
      </c>
      <c r="N19" s="102">
        <v>0.8146</v>
      </c>
    </row>
    <row r="20" s="62" customFormat="1" ht="15" spans="1:14">
      <c r="A20" s="98"/>
      <c r="B20" s="99">
        <v>12</v>
      </c>
      <c r="C20" s="100">
        <v>0.8644</v>
      </c>
      <c r="D20" s="101">
        <v>0.8362</v>
      </c>
      <c r="E20" s="101">
        <v>0.8108</v>
      </c>
      <c r="F20" s="100">
        <v>0.856</v>
      </c>
      <c r="G20" s="102">
        <v>0.8311</v>
      </c>
      <c r="H20" s="102">
        <v>0.7992</v>
      </c>
      <c r="I20" s="102">
        <v>0.8592</v>
      </c>
      <c r="J20" s="102">
        <v>0.8324</v>
      </c>
      <c r="K20" s="102">
        <v>0.8154</v>
      </c>
      <c r="L20" s="102">
        <v>0.8649</v>
      </c>
      <c r="M20" s="102">
        <v>0.8404</v>
      </c>
      <c r="N20" s="102">
        <v>0.822</v>
      </c>
    </row>
    <row r="21" s="62" customFormat="1" ht="15" spans="1:14">
      <c r="A21" s="98"/>
      <c r="B21" s="99">
        <v>13</v>
      </c>
      <c r="C21" s="100">
        <v>0.8702</v>
      </c>
      <c r="D21" s="101">
        <v>0.8469</v>
      </c>
      <c r="E21" s="101">
        <v>0.8271</v>
      </c>
      <c r="F21" s="100">
        <v>0.8672</v>
      </c>
      <c r="G21" s="102">
        <v>0.8398</v>
      </c>
      <c r="H21" s="102">
        <v>0.8302</v>
      </c>
      <c r="I21" s="102">
        <v>0.872</v>
      </c>
      <c r="J21" s="102">
        <v>0.8212</v>
      </c>
      <c r="K21" s="102">
        <v>0.8138</v>
      </c>
      <c r="L21" s="102">
        <v>0.8705</v>
      </c>
      <c r="M21" s="102">
        <v>0.8256</v>
      </c>
      <c r="N21" s="102">
        <v>0.7911</v>
      </c>
    </row>
    <row r="22" s="62" customFormat="1" ht="15" spans="1:14">
      <c r="A22" s="98"/>
      <c r="B22" s="99">
        <v>14</v>
      </c>
      <c r="C22" s="100">
        <v>0.8724</v>
      </c>
      <c r="D22" s="101">
        <v>0.8473</v>
      </c>
      <c r="E22" s="101">
        <v>0.8203</v>
      </c>
      <c r="F22" s="100">
        <v>0.871</v>
      </c>
      <c r="G22" s="102">
        <v>0.8391</v>
      </c>
      <c r="H22" s="102">
        <v>0.8317</v>
      </c>
      <c r="I22" s="102">
        <v>0.8623</v>
      </c>
      <c r="J22" s="102">
        <v>0.8273</v>
      </c>
      <c r="K22" s="102">
        <v>0.8041</v>
      </c>
      <c r="L22" s="102">
        <v>0.8608</v>
      </c>
      <c r="M22" s="102">
        <v>0.8253</v>
      </c>
      <c r="N22" s="102">
        <v>0.7879</v>
      </c>
    </row>
    <row r="23" s="62" customFormat="1" ht="15" spans="1:14">
      <c r="A23" s="98"/>
      <c r="B23" s="99">
        <v>15</v>
      </c>
      <c r="C23" s="100">
        <v>0.8744</v>
      </c>
      <c r="D23" s="101">
        <v>0.8478</v>
      </c>
      <c r="E23" s="101">
        <v>0.8267</v>
      </c>
      <c r="F23" s="100">
        <v>0.8661</v>
      </c>
      <c r="G23" s="102">
        <v>0.831</v>
      </c>
      <c r="H23" s="102">
        <v>0.8266</v>
      </c>
      <c r="I23" s="102">
        <v>0.8614</v>
      </c>
      <c r="J23" s="102">
        <v>0.8224</v>
      </c>
      <c r="K23" s="102">
        <v>0.8</v>
      </c>
      <c r="L23" s="102">
        <v>0.8567</v>
      </c>
      <c r="M23" s="102">
        <v>0.8241</v>
      </c>
      <c r="N23" s="102">
        <v>0.794</v>
      </c>
    </row>
    <row r="24" s="62" customFormat="1" ht="15" spans="1:14">
      <c r="A24" s="98"/>
      <c r="B24" s="99">
        <v>16</v>
      </c>
      <c r="C24" s="100">
        <v>0.8755</v>
      </c>
      <c r="D24" s="101">
        <v>0.8392</v>
      </c>
      <c r="E24" s="101">
        <v>0.8286</v>
      </c>
      <c r="F24" s="100">
        <v>0.8626</v>
      </c>
      <c r="G24" s="102">
        <v>0.8164</v>
      </c>
      <c r="H24" s="102">
        <v>0.8272</v>
      </c>
      <c r="I24" s="102">
        <v>0.8482</v>
      </c>
      <c r="J24" s="102">
        <v>0.8154</v>
      </c>
      <c r="K24" s="102">
        <v>0.7959</v>
      </c>
      <c r="L24" s="102">
        <v>0.8521</v>
      </c>
      <c r="M24" s="102">
        <v>0.8164</v>
      </c>
      <c r="N24" s="102">
        <v>0.7963</v>
      </c>
    </row>
    <row r="25" s="62" customFormat="1" ht="15" spans="1:14">
      <c r="A25" s="98"/>
      <c r="B25" s="99">
        <v>17</v>
      </c>
      <c r="C25" s="100">
        <v>0.8786</v>
      </c>
      <c r="D25" s="101">
        <v>0.8339</v>
      </c>
      <c r="E25" s="101">
        <v>0.8313</v>
      </c>
      <c r="F25" s="100">
        <v>0.8607</v>
      </c>
      <c r="G25" s="102">
        <v>0.8195</v>
      </c>
      <c r="H25" s="102">
        <v>0.8209</v>
      </c>
      <c r="I25" s="102">
        <v>0.8424</v>
      </c>
      <c r="J25" s="102">
        <v>0.8142</v>
      </c>
      <c r="K25" s="102">
        <v>0.8019</v>
      </c>
      <c r="L25" s="102">
        <v>0.8482</v>
      </c>
      <c r="M25" s="102">
        <v>0.8098</v>
      </c>
      <c r="N25" s="102">
        <v>0.7957</v>
      </c>
    </row>
    <row r="26" s="62" customFormat="1" ht="15" spans="1:14">
      <c r="A26" s="98"/>
      <c r="B26" s="99">
        <v>18</v>
      </c>
      <c r="C26" s="100">
        <v>0.8767</v>
      </c>
      <c r="D26" s="101">
        <v>0.8318</v>
      </c>
      <c r="E26" s="101">
        <v>0.8364</v>
      </c>
      <c r="F26" s="100">
        <v>0.8551</v>
      </c>
      <c r="G26" s="102">
        <v>0.8334</v>
      </c>
      <c r="H26" s="102">
        <v>0.819</v>
      </c>
      <c r="I26" s="102">
        <v>0.8421</v>
      </c>
      <c r="J26" s="102">
        <v>0.8111</v>
      </c>
      <c r="K26" s="102">
        <v>0.7992</v>
      </c>
      <c r="L26" s="102">
        <v>0.8492</v>
      </c>
      <c r="M26" s="102">
        <v>0.8321</v>
      </c>
      <c r="N26" s="102">
        <v>0.8123</v>
      </c>
    </row>
    <row r="27" s="62" customFormat="1" ht="15" spans="1:14">
      <c r="A27" s="98"/>
      <c r="B27" s="99">
        <v>19</v>
      </c>
      <c r="C27" s="100">
        <v>0.8761</v>
      </c>
      <c r="D27" s="101">
        <v>0.8393</v>
      </c>
      <c r="E27" s="101">
        <v>0.8419</v>
      </c>
      <c r="F27" s="100">
        <v>0.8458</v>
      </c>
      <c r="G27" s="102">
        <v>0.8343</v>
      </c>
      <c r="H27" s="102">
        <v>0.8161</v>
      </c>
      <c r="I27" s="102">
        <v>0.8379</v>
      </c>
      <c r="J27" s="102">
        <v>0.7994</v>
      </c>
      <c r="K27" s="102">
        <v>0.8025</v>
      </c>
      <c r="L27" s="102">
        <v>0.8487</v>
      </c>
      <c r="M27" s="102">
        <v>0.834</v>
      </c>
      <c r="N27" s="102">
        <v>0.809</v>
      </c>
    </row>
    <row r="28" s="62" customFormat="1" ht="15" spans="1:14">
      <c r="A28" s="98"/>
      <c r="B28" s="99">
        <v>20</v>
      </c>
      <c r="C28" s="100">
        <v>0.8694</v>
      </c>
      <c r="D28" s="101">
        <v>0.85</v>
      </c>
      <c r="E28" s="101">
        <v>0.8447</v>
      </c>
      <c r="F28" s="100">
        <v>0.8428</v>
      </c>
      <c r="G28" s="102">
        <v>0.8333</v>
      </c>
      <c r="H28" s="102">
        <v>0.8123</v>
      </c>
      <c r="I28" s="102">
        <v>0.836</v>
      </c>
      <c r="J28" s="102">
        <v>0.8153</v>
      </c>
      <c r="K28" s="102">
        <v>0.8066</v>
      </c>
      <c r="L28" s="102">
        <v>0.8531</v>
      </c>
      <c r="M28" s="102">
        <v>0.8407</v>
      </c>
      <c r="N28" s="102">
        <v>0.8175</v>
      </c>
    </row>
    <row r="29" s="62" customFormat="1" ht="15" spans="1:14">
      <c r="A29" s="98"/>
      <c r="B29" s="99">
        <v>21</v>
      </c>
      <c r="C29" s="100">
        <v>0.8663</v>
      </c>
      <c r="D29" s="101">
        <v>0.8524</v>
      </c>
      <c r="E29" s="101">
        <v>0.8516</v>
      </c>
      <c r="F29" s="100">
        <v>0.8424</v>
      </c>
      <c r="G29" s="102">
        <v>0.7919</v>
      </c>
      <c r="H29" s="102">
        <v>0.8041</v>
      </c>
      <c r="I29" s="102">
        <v>0.8399</v>
      </c>
      <c r="J29" s="102">
        <v>0.8218</v>
      </c>
      <c r="K29" s="102">
        <v>0.8191</v>
      </c>
      <c r="L29" s="102">
        <v>0.8565</v>
      </c>
      <c r="M29" s="102">
        <v>0.8576</v>
      </c>
      <c r="N29" s="102">
        <v>0.8225</v>
      </c>
    </row>
    <row r="30" s="62" customFormat="1" ht="15" spans="1:14">
      <c r="A30" s="98"/>
      <c r="B30" s="99">
        <v>22</v>
      </c>
      <c r="C30" s="100">
        <v>0.8626</v>
      </c>
      <c r="D30" s="101">
        <v>0.8529</v>
      </c>
      <c r="E30" s="101">
        <v>0.8532</v>
      </c>
      <c r="F30" s="100">
        <v>0.8436</v>
      </c>
      <c r="G30" s="102">
        <v>0.7908</v>
      </c>
      <c r="H30" s="102">
        <v>0.8155</v>
      </c>
      <c r="I30" s="102">
        <v>0.844</v>
      </c>
      <c r="J30" s="102">
        <v>0.8265</v>
      </c>
      <c r="K30" s="102">
        <v>0.8235</v>
      </c>
      <c r="L30" s="102">
        <v>0.8655</v>
      </c>
      <c r="M30" s="102">
        <v>0.8739</v>
      </c>
      <c r="N30" s="102">
        <v>0.8393</v>
      </c>
    </row>
    <row r="31" s="62" customFormat="1" ht="15" spans="1:14">
      <c r="A31" s="98"/>
      <c r="B31" s="99">
        <v>23</v>
      </c>
      <c r="C31" s="100">
        <v>0.8622</v>
      </c>
      <c r="D31" s="101">
        <v>0.8548</v>
      </c>
      <c r="E31" s="101">
        <v>0.8563</v>
      </c>
      <c r="F31" s="100">
        <v>0.8426</v>
      </c>
      <c r="G31" s="102">
        <v>0.8175</v>
      </c>
      <c r="H31" s="102">
        <v>0.8055</v>
      </c>
      <c r="I31" s="102">
        <v>0.8468</v>
      </c>
      <c r="J31" s="102">
        <v>0.8312</v>
      </c>
      <c r="K31" s="102">
        <v>0.8257</v>
      </c>
      <c r="L31" s="102">
        <v>0.8766</v>
      </c>
      <c r="M31" s="102">
        <v>0.8643</v>
      </c>
      <c r="N31" s="102">
        <v>0.8581</v>
      </c>
    </row>
    <row r="32" s="62" customFormat="1" ht="15" spans="1:14">
      <c r="A32" s="98"/>
      <c r="B32" s="99">
        <v>24</v>
      </c>
      <c r="C32" s="100">
        <v>0.8594</v>
      </c>
      <c r="D32" s="101">
        <v>0.8602</v>
      </c>
      <c r="E32" s="101">
        <v>0.8607</v>
      </c>
      <c r="F32" s="100">
        <v>0.8433</v>
      </c>
      <c r="G32" s="102">
        <v>0.8786</v>
      </c>
      <c r="H32" s="102">
        <v>0.8064</v>
      </c>
      <c r="I32" s="102">
        <v>0.8565</v>
      </c>
      <c r="J32" s="102">
        <v>0.8397</v>
      </c>
      <c r="K32" s="102">
        <v>0.8306</v>
      </c>
      <c r="L32" s="102">
        <v>0.8782</v>
      </c>
      <c r="M32" s="102">
        <v>0.8489</v>
      </c>
      <c r="N32" s="102">
        <v>0.8438</v>
      </c>
    </row>
    <row r="33" s="62" customFormat="1" ht="15" spans="1:14">
      <c r="A33" s="98"/>
      <c r="B33" s="99">
        <v>25</v>
      </c>
      <c r="C33" s="100">
        <v>0.8581</v>
      </c>
      <c r="D33" s="101">
        <v>0.8676</v>
      </c>
      <c r="E33" s="101">
        <v>0.8609</v>
      </c>
      <c r="F33" s="100">
        <v>0.8489</v>
      </c>
      <c r="G33" s="102">
        <v>0.8828</v>
      </c>
      <c r="H33" s="102">
        <v>0.8139</v>
      </c>
      <c r="I33" s="102">
        <v>0.8613</v>
      </c>
      <c r="J33" s="102">
        <v>0.8541</v>
      </c>
      <c r="K33" s="102">
        <v>0.845</v>
      </c>
      <c r="L33" s="102">
        <v>0.8763</v>
      </c>
      <c r="M33" s="102">
        <v>0.8664</v>
      </c>
      <c r="N33" s="102">
        <v>0.8359</v>
      </c>
    </row>
    <row r="35" ht="16.2" spans="2:2">
      <c r="B35" s="84"/>
    </row>
    <row r="36" s="62" customFormat="1" ht="15" spans="1:14">
      <c r="A36" s="103">
        <v>0.6</v>
      </c>
      <c r="B36" s="99">
        <v>6</v>
      </c>
      <c r="C36" s="100">
        <v>0.8233</v>
      </c>
      <c r="D36" s="101">
        <v>0.8142</v>
      </c>
      <c r="E36" s="101">
        <v>0.8046</v>
      </c>
      <c r="F36" s="100">
        <v>0.8403</v>
      </c>
      <c r="G36" s="102">
        <v>0.8284</v>
      </c>
      <c r="H36" s="102">
        <v>0.8216</v>
      </c>
      <c r="I36" s="102">
        <v>0.8524</v>
      </c>
      <c r="J36" s="102">
        <v>0.8431</v>
      </c>
      <c r="K36" s="102">
        <v>0.8273</v>
      </c>
      <c r="L36" s="102">
        <v>0.8651</v>
      </c>
      <c r="M36" s="102">
        <v>0.8486</v>
      </c>
      <c r="N36" s="102">
        <v>0.8329</v>
      </c>
    </row>
    <row r="37" s="62" customFormat="1" ht="15" spans="1:14">
      <c r="A37" s="103"/>
      <c r="B37" s="99">
        <v>7</v>
      </c>
      <c r="C37" s="100">
        <v>0.8324</v>
      </c>
      <c r="D37" s="101">
        <v>0.8225</v>
      </c>
      <c r="E37" s="101">
        <v>0.8151</v>
      </c>
      <c r="F37" s="100">
        <v>0.8482</v>
      </c>
      <c r="G37" s="102">
        <v>0.8365</v>
      </c>
      <c r="H37" s="102">
        <v>0.8262</v>
      </c>
      <c r="I37" s="102">
        <v>0.8613</v>
      </c>
      <c r="J37" s="102">
        <v>0.8473</v>
      </c>
      <c r="K37" s="102">
        <v>0.8304</v>
      </c>
      <c r="L37" s="102">
        <v>0.8706</v>
      </c>
      <c r="M37" s="102">
        <v>0.8509</v>
      </c>
      <c r="N37" s="102">
        <v>0.8324</v>
      </c>
    </row>
    <row r="38" s="62" customFormat="1" ht="15" spans="1:14">
      <c r="A38" s="103"/>
      <c r="B38" s="99">
        <v>8</v>
      </c>
      <c r="C38" s="100">
        <v>0.8392</v>
      </c>
      <c r="D38" s="101">
        <v>0.8279</v>
      </c>
      <c r="E38" s="101">
        <v>0.8199</v>
      </c>
      <c r="F38" s="100">
        <v>0.8537</v>
      </c>
      <c r="G38" s="102">
        <v>0.843</v>
      </c>
      <c r="H38" s="102">
        <v>0.827</v>
      </c>
      <c r="I38" s="102">
        <v>0.8675</v>
      </c>
      <c r="J38" s="102">
        <v>0.8501</v>
      </c>
      <c r="K38" s="102">
        <v>0.8351</v>
      </c>
      <c r="L38" s="102">
        <v>0.8709</v>
      </c>
      <c r="M38" s="102">
        <v>0.8539</v>
      </c>
      <c r="N38" s="102">
        <v>0.8319</v>
      </c>
    </row>
    <row r="39" s="62" customFormat="1" ht="15" spans="1:14">
      <c r="A39" s="103"/>
      <c r="B39" s="99">
        <v>9</v>
      </c>
      <c r="C39" s="100">
        <v>0.8448</v>
      </c>
      <c r="D39" s="101">
        <v>0.8389</v>
      </c>
      <c r="E39" s="101">
        <v>0.8253</v>
      </c>
      <c r="F39" s="100">
        <v>0.8608</v>
      </c>
      <c r="G39" s="102">
        <v>0.8456</v>
      </c>
      <c r="H39" s="102">
        <v>0.8324</v>
      </c>
      <c r="I39" s="102">
        <v>0.8693</v>
      </c>
      <c r="J39" s="102">
        <v>0.8498</v>
      </c>
      <c r="K39" s="102">
        <v>0.8286</v>
      </c>
      <c r="L39" s="102">
        <v>0.8739</v>
      </c>
      <c r="M39" s="102">
        <v>0.8543</v>
      </c>
      <c r="N39" s="102">
        <v>0.8213</v>
      </c>
    </row>
    <row r="40" s="62" customFormat="1" ht="15" spans="1:14">
      <c r="A40" s="103"/>
      <c r="B40" s="99">
        <v>10</v>
      </c>
      <c r="C40" s="100">
        <v>0.8518</v>
      </c>
      <c r="D40" s="101">
        <v>0.8421</v>
      </c>
      <c r="E40" s="101">
        <v>0.8271</v>
      </c>
      <c r="F40" s="100">
        <v>0.8659</v>
      </c>
      <c r="G40" s="102">
        <v>0.8461</v>
      </c>
      <c r="H40" s="102">
        <v>0.8268</v>
      </c>
      <c r="I40" s="102">
        <v>0.8712</v>
      </c>
      <c r="J40" s="102">
        <v>0.8524</v>
      </c>
      <c r="K40" s="102">
        <v>0.8238</v>
      </c>
      <c r="L40" s="102">
        <v>0.8756</v>
      </c>
      <c r="M40" s="102">
        <v>0.848</v>
      </c>
      <c r="N40" s="102">
        <v>0.8149</v>
      </c>
    </row>
    <row r="41" s="62" customFormat="1" ht="15" spans="1:14">
      <c r="A41" s="103"/>
      <c r="B41" s="99">
        <v>11</v>
      </c>
      <c r="C41" s="100">
        <v>0.8596</v>
      </c>
      <c r="D41" s="101">
        <v>0.8445</v>
      </c>
      <c r="E41" s="101">
        <v>0.8284</v>
      </c>
      <c r="F41" s="100">
        <v>0.8687</v>
      </c>
      <c r="G41" s="102">
        <v>0.8499</v>
      </c>
      <c r="H41" s="102">
        <v>0.8284</v>
      </c>
      <c r="I41" s="102">
        <v>0.8752</v>
      </c>
      <c r="J41" s="102">
        <v>0.8457</v>
      </c>
      <c r="K41" s="102">
        <v>0.8154</v>
      </c>
      <c r="L41" s="102">
        <v>0.8669</v>
      </c>
      <c r="M41" s="102">
        <v>0.8449</v>
      </c>
      <c r="N41" s="102">
        <v>0.8105</v>
      </c>
    </row>
    <row r="42" s="62" customFormat="1" ht="15" spans="1:14">
      <c r="A42" s="103"/>
      <c r="B42" s="99">
        <v>12</v>
      </c>
      <c r="C42" s="100">
        <v>0.8607</v>
      </c>
      <c r="D42" s="101">
        <v>0.8444</v>
      </c>
      <c r="E42" s="101">
        <v>0.8274</v>
      </c>
      <c r="F42" s="100">
        <v>0.8685</v>
      </c>
      <c r="G42" s="102">
        <v>0.8452</v>
      </c>
      <c r="H42" s="102">
        <v>0.8161</v>
      </c>
      <c r="I42" s="102">
        <v>0.8688</v>
      </c>
      <c r="J42" s="102">
        <v>0.8451</v>
      </c>
      <c r="K42" s="102">
        <v>0.8137</v>
      </c>
      <c r="L42" s="102">
        <v>0.8678</v>
      </c>
      <c r="M42" s="102">
        <v>0.8394</v>
      </c>
      <c r="N42" s="102">
        <v>0.8164</v>
      </c>
    </row>
    <row r="43" s="62" customFormat="1" ht="15" spans="1:14">
      <c r="A43" s="103"/>
      <c r="B43" s="99">
        <v>13</v>
      </c>
      <c r="C43" s="100">
        <v>0.8667</v>
      </c>
      <c r="D43" s="101">
        <v>0.8529</v>
      </c>
      <c r="E43" s="101">
        <v>0.8354</v>
      </c>
      <c r="F43" s="100">
        <v>0.8764</v>
      </c>
      <c r="G43" s="102">
        <v>0.8556</v>
      </c>
      <c r="H43" s="102">
        <v>0.8303</v>
      </c>
      <c r="I43" s="102">
        <v>0.8777</v>
      </c>
      <c r="J43" s="102">
        <v>0.8412</v>
      </c>
      <c r="K43" s="102">
        <v>0.8259</v>
      </c>
      <c r="L43" s="102">
        <v>0.8776</v>
      </c>
      <c r="M43" s="102">
        <v>0.8356</v>
      </c>
      <c r="N43" s="102">
        <v>0.7958</v>
      </c>
    </row>
    <row r="44" s="62" customFormat="1" ht="15" spans="1:14">
      <c r="A44" s="103"/>
      <c r="B44" s="99">
        <v>14</v>
      </c>
      <c r="C44" s="100">
        <v>0.8713</v>
      </c>
      <c r="D44" s="101">
        <v>0.8536</v>
      </c>
      <c r="E44" s="101">
        <v>0.8356</v>
      </c>
      <c r="F44" s="100">
        <v>0.8785</v>
      </c>
      <c r="G44" s="102">
        <v>0.8542</v>
      </c>
      <c r="H44" s="102">
        <v>0.8379</v>
      </c>
      <c r="I44" s="102">
        <v>0.8821</v>
      </c>
      <c r="J44" s="102">
        <v>0.8471</v>
      </c>
      <c r="K44" s="102">
        <v>0.8188</v>
      </c>
      <c r="L44" s="102">
        <v>0.874</v>
      </c>
      <c r="M44" s="102">
        <v>0.8207</v>
      </c>
      <c r="N44" s="102">
        <v>0.7902</v>
      </c>
    </row>
    <row r="45" s="62" customFormat="1" ht="15" spans="1:14">
      <c r="A45" s="103"/>
      <c r="B45" s="99">
        <v>15</v>
      </c>
      <c r="C45" s="100">
        <v>0.8735</v>
      </c>
      <c r="D45" s="101">
        <v>0.8544</v>
      </c>
      <c r="E45" s="101">
        <v>0.8321</v>
      </c>
      <c r="F45" s="100">
        <v>0.8778</v>
      </c>
      <c r="G45" s="102">
        <v>0.8441</v>
      </c>
      <c r="H45" s="102">
        <v>0.8394</v>
      </c>
      <c r="I45" s="102">
        <v>0.8731</v>
      </c>
      <c r="J45" s="102">
        <v>0.8518</v>
      </c>
      <c r="K45" s="102">
        <v>0.8125</v>
      </c>
      <c r="L45" s="102">
        <v>0.8641</v>
      </c>
      <c r="M45" s="102">
        <v>0.8271</v>
      </c>
      <c r="N45" s="102">
        <v>0.7858</v>
      </c>
    </row>
    <row r="46" s="62" customFormat="1" ht="15" spans="1:14">
      <c r="A46" s="103"/>
      <c r="B46" s="99">
        <v>16</v>
      </c>
      <c r="C46" s="100">
        <v>0.8733</v>
      </c>
      <c r="D46" s="101">
        <v>0.8509</v>
      </c>
      <c r="E46" s="101">
        <v>0.8085</v>
      </c>
      <c r="F46" s="100">
        <v>0.8759</v>
      </c>
      <c r="G46" s="102">
        <v>0.8386</v>
      </c>
      <c r="H46" s="102">
        <v>0.8416</v>
      </c>
      <c r="I46" s="102">
        <v>0.8681</v>
      </c>
      <c r="J46" s="102">
        <v>0.8573</v>
      </c>
      <c r="K46" s="102">
        <v>0.802</v>
      </c>
      <c r="L46" s="102">
        <v>0.8581</v>
      </c>
      <c r="M46" s="102">
        <v>0.8259</v>
      </c>
      <c r="N46" s="102">
        <v>0.7842</v>
      </c>
    </row>
    <row r="47" s="62" customFormat="1" ht="15" spans="1:14">
      <c r="A47" s="103"/>
      <c r="B47" s="99">
        <v>17</v>
      </c>
      <c r="C47" s="100">
        <v>0.8738</v>
      </c>
      <c r="D47" s="101">
        <v>0.8556</v>
      </c>
      <c r="E47" s="101">
        <v>0.8332</v>
      </c>
      <c r="F47" s="100">
        <v>0.8781</v>
      </c>
      <c r="G47" s="102">
        <v>0.8466</v>
      </c>
      <c r="H47" s="102">
        <v>0.8486</v>
      </c>
      <c r="I47" s="102">
        <v>0.8682</v>
      </c>
      <c r="J47" s="102">
        <v>0.8595</v>
      </c>
      <c r="K47" s="102">
        <v>0.798</v>
      </c>
      <c r="L47" s="102">
        <v>0.8571</v>
      </c>
      <c r="M47" s="102">
        <v>0.8204</v>
      </c>
      <c r="N47" s="102">
        <v>0.7935</v>
      </c>
    </row>
    <row r="48" s="62" customFormat="1" ht="15" spans="1:14">
      <c r="A48" s="103"/>
      <c r="B48" s="99">
        <v>18</v>
      </c>
      <c r="C48" s="100">
        <v>0.8777</v>
      </c>
      <c r="D48" s="101">
        <v>0.8464</v>
      </c>
      <c r="E48" s="101">
        <v>0.8389</v>
      </c>
      <c r="F48" s="100">
        <v>0.8684</v>
      </c>
      <c r="G48" s="102">
        <v>0.8512</v>
      </c>
      <c r="H48" s="102">
        <v>0.8516</v>
      </c>
      <c r="I48" s="102">
        <v>0.8575</v>
      </c>
      <c r="J48" s="102">
        <v>0.8688</v>
      </c>
      <c r="K48" s="102">
        <v>0.8007</v>
      </c>
      <c r="L48" s="102">
        <v>0.8526</v>
      </c>
      <c r="M48" s="102">
        <v>0.8335</v>
      </c>
      <c r="N48" s="102">
        <v>0.7943</v>
      </c>
    </row>
    <row r="49" s="62" customFormat="1" ht="15" spans="1:14">
      <c r="A49" s="103"/>
      <c r="B49" s="99">
        <v>19</v>
      </c>
      <c r="C49" s="100">
        <v>0.8771</v>
      </c>
      <c r="D49" s="101">
        <v>0.8457</v>
      </c>
      <c r="E49" s="101">
        <v>0.8423</v>
      </c>
      <c r="F49" s="100">
        <v>0.8699</v>
      </c>
      <c r="G49" s="102">
        <v>0.8555</v>
      </c>
      <c r="H49" s="102">
        <v>0.8555</v>
      </c>
      <c r="I49" s="102">
        <v>0.8526</v>
      </c>
      <c r="J49" s="102">
        <v>0.8918</v>
      </c>
      <c r="K49" s="102">
        <v>0.7965</v>
      </c>
      <c r="L49" s="102">
        <v>0.8517</v>
      </c>
      <c r="M49" s="102">
        <v>0.8139</v>
      </c>
      <c r="N49" s="102">
        <v>0.806</v>
      </c>
    </row>
    <row r="50" s="62" customFormat="1" ht="15" spans="1:14">
      <c r="A50" s="103"/>
      <c r="B50" s="99">
        <v>20</v>
      </c>
      <c r="C50" s="100">
        <v>0.8729</v>
      </c>
      <c r="D50" s="101">
        <v>0.8356</v>
      </c>
      <c r="E50" s="101">
        <v>0.8443</v>
      </c>
      <c r="F50" s="100">
        <v>0.8648</v>
      </c>
      <c r="G50" s="102">
        <v>0.857</v>
      </c>
      <c r="H50" s="102">
        <v>0.8599</v>
      </c>
      <c r="I50" s="102">
        <v>0.8552</v>
      </c>
      <c r="J50" s="102">
        <v>0.8977</v>
      </c>
      <c r="K50" s="102">
        <v>0.8053</v>
      </c>
      <c r="L50" s="102">
        <v>0.8499</v>
      </c>
      <c r="M50" s="102">
        <v>0.835</v>
      </c>
      <c r="N50" s="102">
        <v>0.8094</v>
      </c>
    </row>
    <row r="51" s="62" customFormat="1" ht="15" spans="1:14">
      <c r="A51" s="103"/>
      <c r="B51" s="99">
        <v>21</v>
      </c>
      <c r="C51" s="100">
        <v>0.8724</v>
      </c>
      <c r="D51" s="101">
        <v>0.8311</v>
      </c>
      <c r="E51" s="101">
        <v>0.8484</v>
      </c>
      <c r="F51" s="100">
        <v>0.8651</v>
      </c>
      <c r="G51" s="102">
        <v>0.8601</v>
      </c>
      <c r="H51" s="102">
        <v>0.862</v>
      </c>
      <c r="I51" s="102">
        <v>0.8521</v>
      </c>
      <c r="J51" s="102">
        <v>0.8931</v>
      </c>
      <c r="K51" s="102">
        <v>0.8086</v>
      </c>
      <c r="L51" s="102">
        <v>0.853</v>
      </c>
      <c r="M51" s="102">
        <v>0.8348</v>
      </c>
      <c r="N51" s="102">
        <v>0.8131</v>
      </c>
    </row>
    <row r="52" s="62" customFormat="1" ht="15" spans="1:14">
      <c r="A52" s="103"/>
      <c r="B52" s="99">
        <v>22</v>
      </c>
      <c r="C52" s="100">
        <v>0.87</v>
      </c>
      <c r="D52" s="101">
        <v>0.8386</v>
      </c>
      <c r="E52" s="101">
        <v>0.8556</v>
      </c>
      <c r="F52" s="100">
        <v>0.8567</v>
      </c>
      <c r="G52" s="102">
        <v>0.8648</v>
      </c>
      <c r="H52" s="102">
        <v>0.8654</v>
      </c>
      <c r="I52" s="102">
        <v>0.853</v>
      </c>
      <c r="J52" s="102">
        <v>0.8903</v>
      </c>
      <c r="K52" s="102">
        <v>0.8139</v>
      </c>
      <c r="L52" s="102">
        <v>0.8563</v>
      </c>
      <c r="M52" s="102">
        <v>0.846</v>
      </c>
      <c r="N52" s="102">
        <v>0.8167</v>
      </c>
    </row>
    <row r="53" s="62" customFormat="1" ht="15" spans="1:14">
      <c r="A53" s="103"/>
      <c r="B53" s="99">
        <v>23</v>
      </c>
      <c r="C53" s="100">
        <v>0.8666</v>
      </c>
      <c r="D53" s="101">
        <v>0.8417</v>
      </c>
      <c r="E53" s="101">
        <v>0.8614</v>
      </c>
      <c r="F53" s="100">
        <v>0.8557</v>
      </c>
      <c r="G53" s="102">
        <v>0.8698</v>
      </c>
      <c r="H53" s="102">
        <v>0.8282</v>
      </c>
      <c r="I53" s="102">
        <v>0.8561</v>
      </c>
      <c r="J53" s="102">
        <v>0.8863</v>
      </c>
      <c r="K53" s="102">
        <v>0.8177</v>
      </c>
      <c r="L53" s="102">
        <v>0.8619</v>
      </c>
      <c r="M53" s="102">
        <v>0.8632</v>
      </c>
      <c r="N53" s="102">
        <v>0.8218</v>
      </c>
    </row>
    <row r="54" s="62" customFormat="1" ht="15" spans="1:14">
      <c r="A54" s="103"/>
      <c r="B54" s="99">
        <v>24</v>
      </c>
      <c r="C54" s="100">
        <v>0.862</v>
      </c>
      <c r="D54" s="101">
        <v>0.8401</v>
      </c>
      <c r="E54" s="101">
        <v>0.8634</v>
      </c>
      <c r="F54" s="100">
        <v>0.8535</v>
      </c>
      <c r="G54" s="102">
        <v>0.8745</v>
      </c>
      <c r="H54" s="102">
        <v>0.8221</v>
      </c>
      <c r="I54" s="102">
        <v>0.8564</v>
      </c>
      <c r="J54" s="102">
        <v>0.8464</v>
      </c>
      <c r="K54" s="102">
        <v>0.8233</v>
      </c>
      <c r="L54" s="102">
        <v>0.8707</v>
      </c>
      <c r="M54" s="102">
        <v>0.8608</v>
      </c>
      <c r="N54" s="102">
        <v>0.8409</v>
      </c>
    </row>
    <row r="55" s="62" customFormat="1" ht="15" spans="1:14">
      <c r="A55" s="103"/>
      <c r="B55" s="99">
        <v>25</v>
      </c>
      <c r="C55" s="100">
        <v>0.86</v>
      </c>
      <c r="D55" s="101">
        <v>0.837</v>
      </c>
      <c r="E55" s="101">
        <v>0.8646</v>
      </c>
      <c r="F55" s="100">
        <v>0.8548</v>
      </c>
      <c r="G55" s="102">
        <v>0.876</v>
      </c>
      <c r="H55" s="102">
        <v>0.8203</v>
      </c>
      <c r="I55" s="102">
        <v>0.8578</v>
      </c>
      <c r="J55" s="102">
        <v>0.8534</v>
      </c>
      <c r="K55" s="102">
        <v>0.8287</v>
      </c>
      <c r="L55" s="102">
        <v>0.8804</v>
      </c>
      <c r="M55" s="102">
        <v>0.8629</v>
      </c>
      <c r="N55" s="102">
        <v>0.8577</v>
      </c>
    </row>
    <row r="57" ht="16.2" spans="2:2">
      <c r="B57" s="84"/>
    </row>
    <row r="58" s="62" customFormat="1" ht="15" spans="1:14">
      <c r="A58" s="103">
        <v>0.55</v>
      </c>
      <c r="B58" s="99">
        <v>6</v>
      </c>
      <c r="C58" s="100">
        <v>0.8188</v>
      </c>
      <c r="D58" s="101">
        <v>0.8112</v>
      </c>
      <c r="E58" s="101">
        <v>0.8022</v>
      </c>
      <c r="F58" s="100">
        <v>0.838</v>
      </c>
      <c r="G58" s="102">
        <v>0.8277</v>
      </c>
      <c r="H58" s="102">
        <v>0.8211</v>
      </c>
      <c r="I58" s="102">
        <v>0.8507</v>
      </c>
      <c r="J58" s="102">
        <v>0.8419</v>
      </c>
      <c r="K58" s="102">
        <v>0.8292</v>
      </c>
      <c r="L58" s="102">
        <v>0.8626</v>
      </c>
      <c r="M58" s="102">
        <v>0.851</v>
      </c>
      <c r="N58" s="102">
        <v>0.8334</v>
      </c>
    </row>
    <row r="59" s="62" customFormat="1" ht="15" spans="1:14">
      <c r="A59" s="103"/>
      <c r="B59" s="99">
        <v>7</v>
      </c>
      <c r="C59" s="100">
        <v>0.8294</v>
      </c>
      <c r="D59" s="101">
        <v>0.8201</v>
      </c>
      <c r="E59" s="101">
        <v>0.81</v>
      </c>
      <c r="F59" s="100">
        <v>0.8465</v>
      </c>
      <c r="G59" s="102">
        <v>0.8386</v>
      </c>
      <c r="H59" s="102">
        <v>0.8251</v>
      </c>
      <c r="I59" s="102">
        <v>0.8567</v>
      </c>
      <c r="J59" s="102">
        <v>0.8464</v>
      </c>
      <c r="K59" s="102">
        <v>0.8296</v>
      </c>
      <c r="L59" s="102">
        <v>0.8683</v>
      </c>
      <c r="M59" s="102">
        <v>0.8531</v>
      </c>
      <c r="N59" s="102">
        <v>0.8363</v>
      </c>
    </row>
    <row r="60" s="62" customFormat="1" ht="15" spans="1:14">
      <c r="A60" s="103"/>
      <c r="B60" s="99">
        <v>8</v>
      </c>
      <c r="C60" s="100">
        <v>0.8368</v>
      </c>
      <c r="D60" s="101">
        <v>0.8265</v>
      </c>
      <c r="E60" s="101">
        <v>0.8192</v>
      </c>
      <c r="F60" s="100">
        <v>0.8513</v>
      </c>
      <c r="G60" s="102">
        <v>0.8411</v>
      </c>
      <c r="H60" s="102">
        <v>0.8265</v>
      </c>
      <c r="I60" s="102">
        <v>0.8653</v>
      </c>
      <c r="J60" s="102">
        <v>0.8481</v>
      </c>
      <c r="K60" s="102">
        <v>0.8361</v>
      </c>
      <c r="L60" s="102">
        <v>0.8715</v>
      </c>
      <c r="M60" s="102">
        <v>0.8562</v>
      </c>
      <c r="N60" s="102">
        <v>0.8382</v>
      </c>
    </row>
    <row r="61" s="62" customFormat="1" ht="15" spans="1:14">
      <c r="A61" s="103"/>
      <c r="B61" s="99">
        <v>9</v>
      </c>
      <c r="C61" s="100">
        <v>0.8425</v>
      </c>
      <c r="D61" s="101">
        <v>0.8333</v>
      </c>
      <c r="E61" s="101">
        <v>0.8253</v>
      </c>
      <c r="F61" s="100">
        <v>0.861</v>
      </c>
      <c r="G61" s="102">
        <v>0.8466</v>
      </c>
      <c r="H61" s="102">
        <v>0.8318</v>
      </c>
      <c r="I61" s="102">
        <v>0.8718</v>
      </c>
      <c r="J61" s="102">
        <v>0.8538</v>
      </c>
      <c r="K61" s="102">
        <v>0.8336</v>
      </c>
      <c r="L61" s="102">
        <v>0.875</v>
      </c>
      <c r="M61" s="102">
        <v>0.857</v>
      </c>
      <c r="N61" s="102">
        <v>0.8316</v>
      </c>
    </row>
    <row r="62" s="62" customFormat="1" ht="15" spans="1:14">
      <c r="A62" s="103"/>
      <c r="B62" s="99">
        <v>10</v>
      </c>
      <c r="C62" s="100">
        <v>0.8485</v>
      </c>
      <c r="D62" s="101">
        <v>0.8414</v>
      </c>
      <c r="E62" s="101">
        <v>0.8273</v>
      </c>
      <c r="F62" s="100">
        <v>0.8656</v>
      </c>
      <c r="G62" s="102">
        <v>0.8478</v>
      </c>
      <c r="H62" s="102">
        <v>0.8328</v>
      </c>
      <c r="I62" s="102">
        <v>0.8732</v>
      </c>
      <c r="J62" s="102">
        <v>0.8532</v>
      </c>
      <c r="K62" s="102">
        <v>0.8316</v>
      </c>
      <c r="L62" s="102">
        <v>0.8776</v>
      </c>
      <c r="M62" s="102">
        <v>0.8533</v>
      </c>
      <c r="N62" s="102">
        <v>0.8194</v>
      </c>
    </row>
    <row r="63" s="62" customFormat="1" ht="15" spans="1:14">
      <c r="A63" s="103"/>
      <c r="B63" s="99">
        <v>11</v>
      </c>
      <c r="C63" s="100">
        <v>0.8548</v>
      </c>
      <c r="D63" s="101">
        <v>0.8442</v>
      </c>
      <c r="E63" s="101">
        <v>0.8276</v>
      </c>
      <c r="F63" s="100">
        <v>0.867</v>
      </c>
      <c r="G63" s="102">
        <v>0.8518</v>
      </c>
      <c r="H63" s="102">
        <v>0.8307</v>
      </c>
      <c r="I63" s="102">
        <v>0.874</v>
      </c>
      <c r="J63" s="102">
        <v>0.8544</v>
      </c>
      <c r="K63" s="102">
        <v>0.8202</v>
      </c>
      <c r="L63" s="102">
        <v>0.8762</v>
      </c>
      <c r="M63" s="102">
        <v>0.8509</v>
      </c>
      <c r="N63" s="102">
        <v>0.8154</v>
      </c>
    </row>
    <row r="64" s="62" customFormat="1" ht="15" spans="1:14">
      <c r="A64" s="103"/>
      <c r="B64" s="99">
        <v>12</v>
      </c>
      <c r="C64" s="100">
        <v>0.863</v>
      </c>
      <c r="D64" s="101">
        <v>0.8452</v>
      </c>
      <c r="E64" s="101">
        <v>0.8317</v>
      </c>
      <c r="F64" s="100">
        <v>0.8699</v>
      </c>
      <c r="G64" s="102">
        <v>0.8536</v>
      </c>
      <c r="H64" s="102">
        <v>0.8261</v>
      </c>
      <c r="I64" s="102">
        <v>0.874</v>
      </c>
      <c r="J64" s="102">
        <v>0.8506</v>
      </c>
      <c r="K64" s="102">
        <v>0.8151</v>
      </c>
      <c r="L64" s="102">
        <v>0.8719</v>
      </c>
      <c r="M64" s="102">
        <v>0.845</v>
      </c>
      <c r="N64" s="102">
        <v>0.8132</v>
      </c>
    </row>
    <row r="65" s="62" customFormat="1" ht="15" spans="1:14">
      <c r="A65" s="103"/>
      <c r="B65" s="99">
        <v>13</v>
      </c>
      <c r="C65" s="100">
        <v>0.8673</v>
      </c>
      <c r="D65" s="101">
        <v>0.8528</v>
      </c>
      <c r="E65" s="101">
        <v>0.8364</v>
      </c>
      <c r="F65" s="100">
        <v>0.8734</v>
      </c>
      <c r="G65" s="102">
        <v>0.8576</v>
      </c>
      <c r="H65" s="102">
        <v>0.8306</v>
      </c>
      <c r="I65" s="102">
        <v>0.8823</v>
      </c>
      <c r="J65" s="102">
        <v>0.856</v>
      </c>
      <c r="K65" s="102">
        <v>0.8266</v>
      </c>
      <c r="L65" s="102">
        <v>0.8843</v>
      </c>
      <c r="M65" s="102">
        <v>0.8374</v>
      </c>
      <c r="N65" s="102">
        <v>0.8068</v>
      </c>
    </row>
    <row r="66" s="62" customFormat="1" ht="15" spans="1:14">
      <c r="A66" s="103"/>
      <c r="B66" s="99">
        <v>14</v>
      </c>
      <c r="C66" s="100">
        <v>0.8709</v>
      </c>
      <c r="D66" s="101">
        <v>0.8545</v>
      </c>
      <c r="E66" s="101">
        <v>0.8363</v>
      </c>
      <c r="F66" s="100">
        <v>0.8779</v>
      </c>
      <c r="G66" s="102">
        <v>0.8569</v>
      </c>
      <c r="H66" s="102">
        <v>0.8336</v>
      </c>
      <c r="I66" s="102">
        <v>0.8814</v>
      </c>
      <c r="J66" s="102">
        <v>0.8441</v>
      </c>
      <c r="K66" s="102">
        <v>0.8291</v>
      </c>
      <c r="L66" s="102">
        <v>0.874</v>
      </c>
      <c r="M66" s="102">
        <v>0.8402</v>
      </c>
      <c r="N66" s="102">
        <v>0.7983</v>
      </c>
    </row>
    <row r="67" s="62" customFormat="1" ht="15" spans="1:14">
      <c r="A67" s="103"/>
      <c r="B67" s="99">
        <v>15</v>
      </c>
      <c r="C67" s="100">
        <v>0.8724</v>
      </c>
      <c r="D67" s="101">
        <v>0.8551</v>
      </c>
      <c r="E67" s="101">
        <v>0.8393</v>
      </c>
      <c r="F67" s="100">
        <v>0.8794</v>
      </c>
      <c r="G67" s="102">
        <v>0.8607</v>
      </c>
      <c r="H67" s="102">
        <v>0.84</v>
      </c>
      <c r="I67" s="102">
        <v>0.883</v>
      </c>
      <c r="J67" s="102">
        <v>0.8525</v>
      </c>
      <c r="K67" s="102">
        <v>0.8143</v>
      </c>
      <c r="L67" s="102">
        <v>0.8755</v>
      </c>
      <c r="M67" s="102">
        <v>0.8455</v>
      </c>
      <c r="N67" s="102">
        <v>0.7944</v>
      </c>
    </row>
    <row r="68" s="62" customFormat="1" ht="15" spans="1:14">
      <c r="A68" s="103"/>
      <c r="B68" s="99">
        <v>16</v>
      </c>
      <c r="C68" s="100">
        <v>0.874</v>
      </c>
      <c r="D68" s="101">
        <v>0.8556</v>
      </c>
      <c r="E68" s="101">
        <v>0.836</v>
      </c>
      <c r="F68" s="100">
        <v>0.8788</v>
      </c>
      <c r="G68" s="102">
        <v>0.8488</v>
      </c>
      <c r="H68" s="102">
        <v>0.8406</v>
      </c>
      <c r="I68" s="102">
        <v>0.879</v>
      </c>
      <c r="J68" s="102">
        <v>0.8564</v>
      </c>
      <c r="K68" s="102">
        <v>0.81</v>
      </c>
      <c r="L68" s="102">
        <v>0.8658</v>
      </c>
      <c r="M68" s="102">
        <v>0.8342</v>
      </c>
      <c r="N68" s="102">
        <v>0.7917</v>
      </c>
    </row>
    <row r="69" s="62" customFormat="1" ht="15" spans="1:14">
      <c r="A69" s="103"/>
      <c r="B69" s="99">
        <v>17</v>
      </c>
      <c r="C69" s="100">
        <v>0.8736</v>
      </c>
      <c r="D69" s="101">
        <v>0.857</v>
      </c>
      <c r="E69" s="101">
        <v>0.8251</v>
      </c>
      <c r="F69" s="100">
        <v>0.8804</v>
      </c>
      <c r="G69" s="102">
        <v>0.8415</v>
      </c>
      <c r="H69" s="102">
        <v>0.8426</v>
      </c>
      <c r="I69" s="102">
        <v>0.8743</v>
      </c>
      <c r="J69" s="102">
        <v>0.8622</v>
      </c>
      <c r="K69" s="102">
        <v>0.8076</v>
      </c>
      <c r="L69" s="102">
        <v>0.8605</v>
      </c>
      <c r="M69" s="102">
        <v>0.8239</v>
      </c>
      <c r="N69" s="102">
        <v>0.7882</v>
      </c>
    </row>
    <row r="70" s="62" customFormat="1" ht="15" spans="1:14">
      <c r="A70" s="103"/>
      <c r="B70" s="99">
        <v>18</v>
      </c>
      <c r="C70" s="100">
        <v>0.8775</v>
      </c>
      <c r="D70" s="101">
        <v>0.8593</v>
      </c>
      <c r="E70" s="101">
        <v>0.8362</v>
      </c>
      <c r="F70" s="100">
        <v>0.8809</v>
      </c>
      <c r="G70" s="102">
        <v>0.8517</v>
      </c>
      <c r="H70" s="102">
        <v>0.8493</v>
      </c>
      <c r="I70" s="102">
        <v>0.8732</v>
      </c>
      <c r="J70" s="102">
        <v>0.8643</v>
      </c>
      <c r="K70" s="102">
        <v>0.7953</v>
      </c>
      <c r="L70" s="102">
        <v>0.8549</v>
      </c>
      <c r="M70" s="102">
        <v>0.8258</v>
      </c>
      <c r="N70" s="102">
        <v>0.7907</v>
      </c>
    </row>
    <row r="71" s="62" customFormat="1" ht="15" spans="1:14">
      <c r="A71" s="103"/>
      <c r="B71" s="99">
        <v>19</v>
      </c>
      <c r="C71" s="100">
        <v>0.8785</v>
      </c>
      <c r="D71" s="101">
        <v>0.8503</v>
      </c>
      <c r="E71" s="101">
        <v>0.839</v>
      </c>
      <c r="F71" s="100">
        <v>0.8726</v>
      </c>
      <c r="G71" s="102">
        <v>0.8559</v>
      </c>
      <c r="H71" s="102">
        <v>0.8521</v>
      </c>
      <c r="I71" s="102">
        <v>0.863</v>
      </c>
      <c r="J71" s="102">
        <v>0.8864</v>
      </c>
      <c r="K71" s="102">
        <v>0.7966</v>
      </c>
      <c r="L71" s="102">
        <v>0.8528</v>
      </c>
      <c r="M71" s="102">
        <v>0.8171</v>
      </c>
      <c r="N71" s="102">
        <v>0.7933</v>
      </c>
    </row>
    <row r="72" s="62" customFormat="1" ht="15" spans="1:14">
      <c r="A72" s="103"/>
      <c r="B72" s="99">
        <v>20</v>
      </c>
      <c r="C72" s="100">
        <v>0.8794</v>
      </c>
      <c r="D72" s="101">
        <v>0.8483</v>
      </c>
      <c r="E72" s="101">
        <v>0.8431</v>
      </c>
      <c r="F72" s="100">
        <v>0.8732</v>
      </c>
      <c r="G72" s="102">
        <v>0.8576</v>
      </c>
      <c r="H72" s="102">
        <v>0.855</v>
      </c>
      <c r="I72" s="102">
        <v>0.8582</v>
      </c>
      <c r="J72" s="102">
        <v>0.8753</v>
      </c>
      <c r="K72" s="102">
        <v>0.7953</v>
      </c>
      <c r="L72" s="102">
        <v>0.8492</v>
      </c>
      <c r="M72" s="102">
        <v>0.8163</v>
      </c>
      <c r="N72" s="102">
        <v>0.7943</v>
      </c>
    </row>
    <row r="73" s="62" customFormat="1" ht="15" spans="1:14">
      <c r="A73" s="103"/>
      <c r="B73" s="99">
        <v>21</v>
      </c>
      <c r="C73" s="100">
        <v>0.8771</v>
      </c>
      <c r="D73" s="101">
        <v>0.8467</v>
      </c>
      <c r="E73" s="101">
        <v>0.8447</v>
      </c>
      <c r="F73" s="100">
        <v>0.8677</v>
      </c>
      <c r="G73" s="102">
        <v>0.8607</v>
      </c>
      <c r="H73" s="102">
        <v>0.8616</v>
      </c>
      <c r="I73" s="102">
        <v>0.8578</v>
      </c>
      <c r="J73" s="102">
        <v>0.8229</v>
      </c>
      <c r="K73" s="102">
        <v>0.8097</v>
      </c>
      <c r="L73" s="102">
        <v>0.8469</v>
      </c>
      <c r="M73" s="102">
        <v>0.8312</v>
      </c>
      <c r="N73" s="102">
        <v>0.8028</v>
      </c>
    </row>
    <row r="74" s="62" customFormat="1" ht="15" spans="1:14">
      <c r="A74" s="103"/>
      <c r="B74" s="99">
        <v>22</v>
      </c>
      <c r="C74" s="100">
        <v>0.8779</v>
      </c>
      <c r="D74" s="101">
        <v>0.8355</v>
      </c>
      <c r="E74" s="101">
        <v>0.8474</v>
      </c>
      <c r="F74" s="100">
        <v>0.8647</v>
      </c>
      <c r="G74" s="102">
        <v>0.8639</v>
      </c>
      <c r="H74" s="102">
        <v>0.8628</v>
      </c>
      <c r="I74" s="102">
        <v>0.8556</v>
      </c>
      <c r="J74" s="102">
        <v>0.8159</v>
      </c>
      <c r="K74" s="102">
        <v>0.8056</v>
      </c>
      <c r="L74" s="102">
        <v>0.8515</v>
      </c>
      <c r="M74" s="102">
        <v>0.8286</v>
      </c>
      <c r="N74" s="102">
        <v>0.8127</v>
      </c>
    </row>
    <row r="75" s="62" customFormat="1" ht="15" spans="1:14">
      <c r="A75" s="103"/>
      <c r="B75" s="99">
        <v>23</v>
      </c>
      <c r="C75" s="100">
        <v>0.8745</v>
      </c>
      <c r="D75" s="101">
        <v>0.8408</v>
      </c>
      <c r="E75" s="101">
        <v>0.8539</v>
      </c>
      <c r="F75" s="100">
        <v>0.8637</v>
      </c>
      <c r="G75" s="102">
        <v>0.8655</v>
      </c>
      <c r="H75" s="102">
        <v>0.8657</v>
      </c>
      <c r="I75" s="102">
        <v>0.8521</v>
      </c>
      <c r="J75" s="102">
        <v>0.8281</v>
      </c>
      <c r="K75" s="102">
        <v>0.8064</v>
      </c>
      <c r="L75" s="102">
        <v>0.8527</v>
      </c>
      <c r="M75" s="102">
        <v>0.8371</v>
      </c>
      <c r="N75" s="102">
        <v>0.8148</v>
      </c>
    </row>
    <row r="76" s="62" customFormat="1" ht="15" spans="1:14">
      <c r="A76" s="103"/>
      <c r="B76" s="99">
        <v>24</v>
      </c>
      <c r="C76" s="100">
        <v>0.8697</v>
      </c>
      <c r="D76" s="101">
        <v>0.8472</v>
      </c>
      <c r="E76" s="101">
        <v>0.86</v>
      </c>
      <c r="F76" s="100">
        <v>0.8575</v>
      </c>
      <c r="G76" s="102">
        <v>0.8708</v>
      </c>
      <c r="H76" s="102">
        <v>0.8725</v>
      </c>
      <c r="I76" s="102">
        <v>0.8566</v>
      </c>
      <c r="J76" s="102">
        <v>0.8448</v>
      </c>
      <c r="K76" s="102">
        <v>0.8091</v>
      </c>
      <c r="L76" s="102">
        <v>0.8554</v>
      </c>
      <c r="M76" s="102">
        <v>0.841</v>
      </c>
      <c r="N76" s="102">
        <v>0.8176</v>
      </c>
    </row>
    <row r="77" s="62" customFormat="1" ht="15" spans="1:14">
      <c r="A77" s="103"/>
      <c r="B77" s="99">
        <v>25</v>
      </c>
      <c r="C77" s="100">
        <v>0.8684</v>
      </c>
      <c r="D77" s="101">
        <v>0.8518</v>
      </c>
      <c r="E77" s="101">
        <v>0.8624</v>
      </c>
      <c r="F77" s="100">
        <v>0.8545</v>
      </c>
      <c r="G77" s="102">
        <v>0.8791</v>
      </c>
      <c r="H77" s="102">
        <v>0.8264</v>
      </c>
      <c r="I77" s="102">
        <v>0.8563</v>
      </c>
      <c r="J77" s="102">
        <v>0.8838</v>
      </c>
      <c r="K77" s="102">
        <v>0.818</v>
      </c>
      <c r="L77" s="102">
        <v>0.8623</v>
      </c>
      <c r="M77" s="102">
        <v>0.8587</v>
      </c>
      <c r="N77" s="102">
        <v>0.8231</v>
      </c>
    </row>
    <row r="79" ht="16.2" spans="2:2">
      <c r="B79" s="84"/>
    </row>
    <row r="80" s="62" customFormat="1" ht="15" spans="1:14">
      <c r="A80" s="98">
        <v>0.5</v>
      </c>
      <c r="B80" s="99">
        <v>6</v>
      </c>
      <c r="C80" s="100">
        <v>0.8079</v>
      </c>
      <c r="D80" s="101">
        <v>0.8007</v>
      </c>
      <c r="E80" s="101">
        <v>0.7948</v>
      </c>
      <c r="F80" s="100">
        <v>0.8285</v>
      </c>
      <c r="G80" s="102">
        <v>0.8198</v>
      </c>
      <c r="H80" s="102">
        <v>0.8101</v>
      </c>
      <c r="I80" s="102">
        <v>0.8459</v>
      </c>
      <c r="J80" s="102">
        <v>0.8347</v>
      </c>
      <c r="K80" s="102">
        <v>0.8254</v>
      </c>
      <c r="L80" s="102">
        <v>0.8562</v>
      </c>
      <c r="M80" s="102">
        <v>0.8447</v>
      </c>
      <c r="N80" s="102">
        <v>0.8288</v>
      </c>
    </row>
    <row r="81" s="62" customFormat="1" ht="15" spans="1:14">
      <c r="A81" s="98"/>
      <c r="B81" s="99">
        <v>7</v>
      </c>
      <c r="C81" s="100">
        <v>0.8199</v>
      </c>
      <c r="D81" s="101">
        <v>0.8115</v>
      </c>
      <c r="E81" s="101">
        <v>0.8021</v>
      </c>
      <c r="F81" s="100">
        <v>0.8372</v>
      </c>
      <c r="G81" s="102">
        <v>0.827</v>
      </c>
      <c r="H81" s="102">
        <v>0.82</v>
      </c>
      <c r="I81" s="102">
        <v>0.8533</v>
      </c>
      <c r="J81" s="102">
        <v>0.845</v>
      </c>
      <c r="K81" s="102">
        <v>0.829</v>
      </c>
      <c r="L81" s="102">
        <v>0.8668</v>
      </c>
      <c r="M81" s="102">
        <v>0.8504</v>
      </c>
      <c r="N81" s="102">
        <v>0.8328</v>
      </c>
    </row>
    <row r="82" s="62" customFormat="1" ht="15" spans="1:14">
      <c r="A82" s="98"/>
      <c r="B82" s="99">
        <v>8</v>
      </c>
      <c r="C82" s="100">
        <v>0.8281</v>
      </c>
      <c r="D82" s="101">
        <v>0.8189</v>
      </c>
      <c r="E82" s="101">
        <v>0.8086</v>
      </c>
      <c r="F82" s="100">
        <v>0.8441</v>
      </c>
      <c r="G82" s="102">
        <v>0.8349</v>
      </c>
      <c r="H82" s="102">
        <v>0.8268</v>
      </c>
      <c r="I82" s="102">
        <v>0.8615</v>
      </c>
      <c r="J82" s="102">
        <v>0.8477</v>
      </c>
      <c r="K82" s="102">
        <v>0.8307</v>
      </c>
      <c r="L82" s="102">
        <v>0.8698</v>
      </c>
      <c r="M82" s="102">
        <v>0.8531</v>
      </c>
      <c r="N82" s="102">
        <v>0.8354</v>
      </c>
    </row>
    <row r="83" s="62" customFormat="1" ht="15" spans="1:14">
      <c r="A83" s="98"/>
      <c r="B83" s="99">
        <v>9</v>
      </c>
      <c r="C83" s="100">
        <v>0.8341</v>
      </c>
      <c r="D83" s="101">
        <v>0.8237</v>
      </c>
      <c r="E83" s="101">
        <v>0.8157</v>
      </c>
      <c r="F83" s="100">
        <v>0.8484</v>
      </c>
      <c r="G83" s="102">
        <v>0.8386</v>
      </c>
      <c r="H83" s="102">
        <v>0.8305</v>
      </c>
      <c r="I83" s="102">
        <v>0.8664</v>
      </c>
      <c r="J83" s="102">
        <v>0.8514</v>
      </c>
      <c r="K83" s="102">
        <v>0.8356</v>
      </c>
      <c r="L83" s="102">
        <v>0.8707</v>
      </c>
      <c r="M83" s="102">
        <v>0.854</v>
      </c>
      <c r="N83" s="102">
        <v>0.8344</v>
      </c>
    </row>
    <row r="84" s="62" customFormat="1" ht="15" spans="1:14">
      <c r="A84" s="98"/>
      <c r="B84" s="99">
        <v>10</v>
      </c>
      <c r="C84" s="100">
        <v>0.8426</v>
      </c>
      <c r="D84" s="101">
        <v>0.8276</v>
      </c>
      <c r="E84" s="101">
        <v>0.8233</v>
      </c>
      <c r="F84" s="100">
        <v>0.8581</v>
      </c>
      <c r="G84" s="102">
        <v>0.8441</v>
      </c>
      <c r="H84" s="102">
        <v>0.8326</v>
      </c>
      <c r="I84" s="102">
        <v>0.871</v>
      </c>
      <c r="J84" s="102">
        <v>0.8522</v>
      </c>
      <c r="K84" s="102">
        <v>0.8331</v>
      </c>
      <c r="L84" s="102">
        <v>0.8742</v>
      </c>
      <c r="M84" s="102">
        <v>0.8577</v>
      </c>
      <c r="N84" s="102">
        <v>0.8284</v>
      </c>
    </row>
    <row r="85" s="62" customFormat="1" ht="15" spans="1:14">
      <c r="A85" s="98"/>
      <c r="B85" s="99">
        <v>11</v>
      </c>
      <c r="C85" s="100">
        <v>0.8471</v>
      </c>
      <c r="D85" s="101">
        <v>0.8385</v>
      </c>
      <c r="E85" s="101">
        <v>0.8255</v>
      </c>
      <c r="F85" s="100">
        <v>0.8629</v>
      </c>
      <c r="G85" s="102">
        <v>0.8454</v>
      </c>
      <c r="H85" s="102">
        <v>0.8329</v>
      </c>
      <c r="I85" s="102">
        <v>0.8717</v>
      </c>
      <c r="J85" s="102">
        <v>0.854</v>
      </c>
      <c r="K85" s="102">
        <v>0.8318</v>
      </c>
      <c r="L85" s="102">
        <v>0.8765</v>
      </c>
      <c r="M85" s="102">
        <v>0.8539</v>
      </c>
      <c r="N85" s="102">
        <v>0.8184</v>
      </c>
    </row>
    <row r="86" s="62" customFormat="1" ht="15" spans="1:14">
      <c r="A86" s="98"/>
      <c r="B86" s="99">
        <v>12</v>
      </c>
      <c r="C86" s="100">
        <v>0.8497</v>
      </c>
      <c r="D86" s="101">
        <v>0.8412</v>
      </c>
      <c r="E86" s="101">
        <v>0.8262</v>
      </c>
      <c r="F86" s="100">
        <v>0.862</v>
      </c>
      <c r="G86" s="102">
        <v>0.8479</v>
      </c>
      <c r="H86" s="102">
        <v>0.8332</v>
      </c>
      <c r="I86" s="102">
        <v>0.8726</v>
      </c>
      <c r="J86" s="102">
        <v>0.854</v>
      </c>
      <c r="K86" s="102">
        <v>0.8225</v>
      </c>
      <c r="L86" s="102">
        <v>0.8748</v>
      </c>
      <c r="M86" s="102">
        <v>0.8498</v>
      </c>
      <c r="N86" s="102">
        <v>0.8147</v>
      </c>
    </row>
    <row r="87" s="62" customFormat="1" ht="15" spans="1:14">
      <c r="A87" s="98"/>
      <c r="B87" s="99">
        <v>13</v>
      </c>
      <c r="C87" s="100">
        <v>0.8621</v>
      </c>
      <c r="D87" s="101">
        <v>0.8466</v>
      </c>
      <c r="E87" s="101">
        <v>0.8304</v>
      </c>
      <c r="F87" s="100">
        <v>0.8691</v>
      </c>
      <c r="G87" s="102">
        <v>0.8536</v>
      </c>
      <c r="H87" s="102">
        <v>0.8405</v>
      </c>
      <c r="I87" s="102">
        <v>0.8806</v>
      </c>
      <c r="J87" s="102">
        <v>0.8607</v>
      </c>
      <c r="K87" s="102">
        <v>0.8246</v>
      </c>
      <c r="L87" s="102">
        <v>0.8831</v>
      </c>
      <c r="M87" s="102">
        <v>0.8513</v>
      </c>
      <c r="N87" s="102">
        <v>0.8195</v>
      </c>
    </row>
    <row r="88" s="62" customFormat="1" ht="15" spans="1:14">
      <c r="A88" s="98"/>
      <c r="B88" s="99">
        <v>14</v>
      </c>
      <c r="C88" s="100">
        <v>0.8642</v>
      </c>
      <c r="D88" s="101">
        <v>0.8475</v>
      </c>
      <c r="E88" s="101">
        <v>0.8349</v>
      </c>
      <c r="F88" s="100">
        <v>0.8709</v>
      </c>
      <c r="G88" s="102">
        <v>0.8541</v>
      </c>
      <c r="H88" s="102">
        <v>0.8375</v>
      </c>
      <c r="I88" s="102">
        <v>0.8807</v>
      </c>
      <c r="J88" s="102">
        <v>0.8606</v>
      </c>
      <c r="K88" s="102">
        <v>0.8272</v>
      </c>
      <c r="L88" s="102">
        <v>0.8826</v>
      </c>
      <c r="M88" s="102">
        <v>0.8401</v>
      </c>
      <c r="N88" s="102">
        <v>0.8125</v>
      </c>
    </row>
    <row r="89" s="62" customFormat="1" ht="15" spans="1:14">
      <c r="A89" s="98"/>
      <c r="B89" s="99">
        <v>15</v>
      </c>
      <c r="C89" s="100">
        <v>0.8658</v>
      </c>
      <c r="D89" s="101">
        <v>0.8504</v>
      </c>
      <c r="E89" s="101">
        <v>0.835</v>
      </c>
      <c r="F89" s="100">
        <v>0.874</v>
      </c>
      <c r="G89" s="102">
        <v>0.8532</v>
      </c>
      <c r="H89" s="102">
        <v>0.8274</v>
      </c>
      <c r="I89" s="102">
        <v>0.8809</v>
      </c>
      <c r="J89" s="102">
        <v>0.8507</v>
      </c>
      <c r="K89" s="102">
        <v>0.8259</v>
      </c>
      <c r="L89" s="102">
        <v>0.8776</v>
      </c>
      <c r="M89" s="102">
        <v>0.8409</v>
      </c>
      <c r="N89" s="102">
        <v>0.8006</v>
      </c>
    </row>
    <row r="90" s="62" customFormat="1" ht="15" spans="1:14">
      <c r="A90" s="98"/>
      <c r="B90" s="99">
        <v>16</v>
      </c>
      <c r="C90" s="100">
        <v>0.8704</v>
      </c>
      <c r="D90" s="101">
        <v>0.8523</v>
      </c>
      <c r="E90" s="101">
        <v>0.834</v>
      </c>
      <c r="F90" s="100">
        <v>0.8738</v>
      </c>
      <c r="G90" s="102">
        <v>0.8566</v>
      </c>
      <c r="H90" s="102">
        <v>0.8382</v>
      </c>
      <c r="I90" s="102">
        <v>0.8841</v>
      </c>
      <c r="J90" s="102">
        <v>0.8501</v>
      </c>
      <c r="K90" s="102">
        <v>0.8101</v>
      </c>
      <c r="L90" s="102">
        <v>0.8796</v>
      </c>
      <c r="M90" s="102">
        <v>0.837</v>
      </c>
      <c r="N90" s="102">
        <v>0.7995</v>
      </c>
    </row>
    <row r="91" s="62" customFormat="1" ht="15" spans="1:14">
      <c r="A91" s="98"/>
      <c r="B91" s="99">
        <v>17</v>
      </c>
      <c r="C91" s="100">
        <v>0.8701</v>
      </c>
      <c r="D91" s="101">
        <v>0.8516</v>
      </c>
      <c r="E91" s="101">
        <v>0.8357</v>
      </c>
      <c r="F91" s="100">
        <v>0.8742</v>
      </c>
      <c r="G91" s="102">
        <v>0.8487</v>
      </c>
      <c r="H91" s="102">
        <v>0.8402</v>
      </c>
      <c r="I91" s="102">
        <v>0.8844</v>
      </c>
      <c r="J91" s="102">
        <v>0.8523</v>
      </c>
      <c r="K91" s="102">
        <v>0.8093</v>
      </c>
      <c r="L91" s="102">
        <v>0.8703</v>
      </c>
      <c r="M91" s="102">
        <v>0.845</v>
      </c>
      <c r="N91" s="102">
        <v>0.7902</v>
      </c>
    </row>
    <row r="92" s="62" customFormat="1" ht="15" spans="1:14">
      <c r="A92" s="98"/>
      <c r="B92" s="99">
        <v>18</v>
      </c>
      <c r="C92" s="100">
        <v>0.8715</v>
      </c>
      <c r="D92" s="101">
        <v>0.852</v>
      </c>
      <c r="E92" s="101">
        <v>0.8279</v>
      </c>
      <c r="F92" s="100">
        <v>0.877</v>
      </c>
      <c r="G92" s="102">
        <v>0.8406</v>
      </c>
      <c r="H92" s="102">
        <v>0.8412</v>
      </c>
      <c r="I92" s="102">
        <v>0.8739</v>
      </c>
      <c r="J92" s="102">
        <v>0.8591</v>
      </c>
      <c r="K92" s="102">
        <v>0.8047</v>
      </c>
      <c r="L92" s="102">
        <v>0.8637</v>
      </c>
      <c r="M92" s="102">
        <v>0.8289</v>
      </c>
      <c r="N92" s="102">
        <v>0.7886</v>
      </c>
    </row>
    <row r="93" s="62" customFormat="1" ht="15" spans="1:14">
      <c r="A93" s="98"/>
      <c r="B93" s="99">
        <v>19</v>
      </c>
      <c r="C93" s="100">
        <v>0.872</v>
      </c>
      <c r="D93" s="101">
        <v>0.8516</v>
      </c>
      <c r="E93" s="101">
        <v>0.8125</v>
      </c>
      <c r="F93" s="100">
        <v>0.8752</v>
      </c>
      <c r="G93" s="102">
        <v>0.8404</v>
      </c>
      <c r="H93" s="102">
        <v>0.8462</v>
      </c>
      <c r="I93" s="102">
        <v>0.8755</v>
      </c>
      <c r="J93" s="102">
        <v>0.8613</v>
      </c>
      <c r="K93" s="102">
        <v>0.7961</v>
      </c>
      <c r="L93" s="102">
        <v>0.8595</v>
      </c>
      <c r="M93" s="102">
        <v>0.826</v>
      </c>
      <c r="N93" s="102">
        <v>0.7884</v>
      </c>
    </row>
    <row r="94" s="62" customFormat="1" ht="15" spans="1:14">
      <c r="A94" s="98"/>
      <c r="B94" s="99">
        <v>20</v>
      </c>
      <c r="C94" s="100">
        <v>0.873</v>
      </c>
      <c r="D94" s="101">
        <v>0.8568</v>
      </c>
      <c r="E94" s="101">
        <v>0.8329</v>
      </c>
      <c r="F94" s="100">
        <v>0.8746</v>
      </c>
      <c r="G94" s="102">
        <v>0.8494</v>
      </c>
      <c r="H94" s="102">
        <v>0.8512</v>
      </c>
      <c r="I94" s="102">
        <v>0.8718</v>
      </c>
      <c r="J94" s="102">
        <v>0.8658</v>
      </c>
      <c r="K94" s="102">
        <v>0.7945</v>
      </c>
      <c r="L94" s="102">
        <v>0.8539</v>
      </c>
      <c r="M94" s="102">
        <v>0.8235</v>
      </c>
      <c r="N94" s="102">
        <v>0.7889</v>
      </c>
    </row>
    <row r="95" s="62" customFormat="1" ht="15" spans="1:14">
      <c r="A95" s="98"/>
      <c r="B95" s="99">
        <v>21</v>
      </c>
      <c r="C95" s="100">
        <v>0.8743</v>
      </c>
      <c r="D95" s="101">
        <v>0.846</v>
      </c>
      <c r="E95" s="101">
        <v>0.8351</v>
      </c>
      <c r="F95" s="100">
        <v>0.8698</v>
      </c>
      <c r="G95" s="102">
        <v>0.8526</v>
      </c>
      <c r="H95" s="102">
        <v>0.853</v>
      </c>
      <c r="I95" s="102">
        <v>0.8621</v>
      </c>
      <c r="J95" s="102">
        <v>0.8927</v>
      </c>
      <c r="K95" s="102">
        <v>0.7938</v>
      </c>
      <c r="L95" s="102">
        <v>0.8532</v>
      </c>
      <c r="M95" s="102">
        <v>0.8193</v>
      </c>
      <c r="N95" s="102">
        <v>0.7953</v>
      </c>
    </row>
    <row r="96" s="62" customFormat="1" ht="15" spans="1:14">
      <c r="A96" s="98"/>
      <c r="B96" s="99">
        <v>22</v>
      </c>
      <c r="C96" s="100">
        <v>0.8778</v>
      </c>
      <c r="D96" s="101">
        <v>0.8439</v>
      </c>
      <c r="E96" s="101">
        <v>0.8397</v>
      </c>
      <c r="F96" s="100">
        <v>0.8681</v>
      </c>
      <c r="G96" s="102">
        <v>0.8538</v>
      </c>
      <c r="H96" s="102">
        <v>0.8585</v>
      </c>
      <c r="I96" s="102">
        <v>0.8597</v>
      </c>
      <c r="J96" s="102">
        <v>0.8385</v>
      </c>
      <c r="K96" s="102">
        <v>0.8069</v>
      </c>
      <c r="L96" s="102">
        <v>0.8493</v>
      </c>
      <c r="M96" s="102">
        <v>0.8144</v>
      </c>
      <c r="N96" s="102">
        <v>0.795</v>
      </c>
    </row>
    <row r="97" s="62" customFormat="1" ht="15" spans="1:14">
      <c r="A97" s="98"/>
      <c r="B97" s="99">
        <v>23</v>
      </c>
      <c r="C97" s="100">
        <v>0.8745</v>
      </c>
      <c r="D97" s="101">
        <v>0.8409</v>
      </c>
      <c r="E97" s="101">
        <v>0.8415</v>
      </c>
      <c r="F97" s="100">
        <v>0.865</v>
      </c>
      <c r="G97" s="102">
        <v>0.8571</v>
      </c>
      <c r="H97" s="102">
        <v>0.863</v>
      </c>
      <c r="I97" s="102">
        <v>0.8577</v>
      </c>
      <c r="J97" s="102">
        <v>0.821</v>
      </c>
      <c r="K97" s="102">
        <v>0.8119</v>
      </c>
      <c r="L97" s="102">
        <v>0.8507</v>
      </c>
      <c r="M97" s="102">
        <v>0.8313</v>
      </c>
      <c r="N97" s="102">
        <v>0.803</v>
      </c>
    </row>
    <row r="98" s="62" customFormat="1" ht="15" spans="1:14">
      <c r="A98" s="98"/>
      <c r="B98" s="99">
        <v>24</v>
      </c>
      <c r="C98" s="100">
        <v>0.874</v>
      </c>
      <c r="D98" s="101">
        <v>0.8308</v>
      </c>
      <c r="E98" s="101">
        <v>0.843</v>
      </c>
      <c r="F98" s="100">
        <v>0.8626</v>
      </c>
      <c r="G98" s="102">
        <v>0.8584</v>
      </c>
      <c r="H98" s="102">
        <v>0.8637</v>
      </c>
      <c r="I98" s="102">
        <v>0.8542</v>
      </c>
      <c r="J98" s="102">
        <v>0.8212</v>
      </c>
      <c r="K98" s="102">
        <v>0.8044</v>
      </c>
      <c r="L98" s="102">
        <v>0.8492</v>
      </c>
      <c r="M98" s="102">
        <v>0.8301</v>
      </c>
      <c r="N98" s="102">
        <v>0.8118</v>
      </c>
    </row>
    <row r="99" s="62" customFormat="1" ht="15" spans="1:14">
      <c r="A99" s="98"/>
      <c r="B99" s="99">
        <v>25</v>
      </c>
      <c r="C99" s="100">
        <v>0.8694</v>
      </c>
      <c r="D99" s="101">
        <v>0.8364</v>
      </c>
      <c r="E99" s="101">
        <v>0.8477</v>
      </c>
      <c r="F99" s="100">
        <v>0.8594</v>
      </c>
      <c r="G99" s="102">
        <v>0.8591</v>
      </c>
      <c r="H99" s="102">
        <v>0.8669</v>
      </c>
      <c r="I99" s="102">
        <v>0.8549</v>
      </c>
      <c r="J99" s="102">
        <v>0.8259</v>
      </c>
      <c r="K99" s="102">
        <v>0.8036</v>
      </c>
      <c r="L99" s="102">
        <v>0.8532</v>
      </c>
      <c r="M99" s="102">
        <v>0.8347</v>
      </c>
      <c r="N99" s="102">
        <v>0.8142</v>
      </c>
    </row>
    <row r="101" ht="16.2" spans="2:2">
      <c r="B101" s="84"/>
    </row>
    <row r="102" s="62" customFormat="1" ht="15" spans="1:14">
      <c r="A102" s="98">
        <v>0.45</v>
      </c>
      <c r="B102" s="99">
        <v>6</v>
      </c>
      <c r="C102" s="100">
        <v>0.8012</v>
      </c>
      <c r="D102" s="101">
        <v>0.7943</v>
      </c>
      <c r="E102" s="101">
        <v>0.7886</v>
      </c>
      <c r="F102" s="100">
        <v>0.8224</v>
      </c>
      <c r="G102" s="102">
        <v>0.8138</v>
      </c>
      <c r="H102" s="102">
        <v>0.8032</v>
      </c>
      <c r="I102" s="102">
        <v>0.8366</v>
      </c>
      <c r="J102" s="102">
        <v>0.8263</v>
      </c>
      <c r="K102" s="102">
        <v>0.8188</v>
      </c>
      <c r="L102" s="102">
        <v>0.8471</v>
      </c>
      <c r="M102" s="102">
        <v>0.8394</v>
      </c>
      <c r="N102" s="102">
        <v>0.8252</v>
      </c>
    </row>
    <row r="103" s="62" customFormat="1" ht="15" spans="1:14">
      <c r="A103" s="98"/>
      <c r="B103" s="99">
        <v>7</v>
      </c>
      <c r="C103" s="100">
        <v>0.8134</v>
      </c>
      <c r="D103" s="101">
        <v>0.8048</v>
      </c>
      <c r="E103" s="101">
        <v>0.7971</v>
      </c>
      <c r="F103" s="100">
        <v>0.8325</v>
      </c>
      <c r="G103" s="102">
        <v>0.8223</v>
      </c>
      <c r="H103" s="102">
        <v>0.8139</v>
      </c>
      <c r="I103" s="102">
        <v>0.8459</v>
      </c>
      <c r="J103" s="102">
        <v>0.8376</v>
      </c>
      <c r="K103" s="102">
        <v>0.8214</v>
      </c>
      <c r="L103" s="102">
        <v>0.8533</v>
      </c>
      <c r="M103" s="102">
        <v>0.8445</v>
      </c>
      <c r="N103" s="102">
        <v>0.8263</v>
      </c>
    </row>
    <row r="104" s="62" customFormat="1" ht="15" spans="1:14">
      <c r="A104" s="98"/>
      <c r="B104" s="99">
        <v>8</v>
      </c>
      <c r="C104" s="100">
        <v>0.8233</v>
      </c>
      <c r="D104" s="101">
        <v>0.8132</v>
      </c>
      <c r="E104" s="101">
        <v>0.8036</v>
      </c>
      <c r="F104" s="100">
        <v>0.8392</v>
      </c>
      <c r="G104" s="102">
        <v>0.8276</v>
      </c>
      <c r="H104" s="102">
        <v>0.818</v>
      </c>
      <c r="I104" s="102">
        <v>0.8507</v>
      </c>
      <c r="J104" s="102">
        <v>0.8401</v>
      </c>
      <c r="K104" s="102">
        <v>0.8238</v>
      </c>
      <c r="L104" s="102">
        <v>0.862</v>
      </c>
      <c r="M104" s="102">
        <v>0.8456</v>
      </c>
      <c r="N104" s="102">
        <v>0.8316</v>
      </c>
    </row>
    <row r="105" s="62" customFormat="1" ht="15" spans="1:14">
      <c r="A105" s="98"/>
      <c r="B105" s="99">
        <v>9</v>
      </c>
      <c r="C105" s="100">
        <v>0.8294</v>
      </c>
      <c r="D105" s="101">
        <v>0.8194</v>
      </c>
      <c r="E105" s="101">
        <v>0.8084</v>
      </c>
      <c r="F105" s="100">
        <v>0.8452</v>
      </c>
      <c r="G105" s="102">
        <v>0.8358</v>
      </c>
      <c r="H105" s="102">
        <v>0.8248</v>
      </c>
      <c r="I105" s="102">
        <v>0.859</v>
      </c>
      <c r="J105" s="102">
        <v>0.8466</v>
      </c>
      <c r="K105" s="102">
        <v>0.8296</v>
      </c>
      <c r="L105" s="102">
        <v>0.8664</v>
      </c>
      <c r="M105" s="102">
        <v>0.8508</v>
      </c>
      <c r="N105" s="102">
        <v>0.8302</v>
      </c>
    </row>
    <row r="106" s="62" customFormat="1" ht="15" spans="1:14">
      <c r="A106" s="98"/>
      <c r="B106" s="99">
        <v>10</v>
      </c>
      <c r="C106" s="100">
        <v>0.8349</v>
      </c>
      <c r="D106" s="101">
        <v>0.8267</v>
      </c>
      <c r="E106" s="101">
        <v>0.8173</v>
      </c>
      <c r="F106" s="100">
        <v>0.8489</v>
      </c>
      <c r="G106" s="102">
        <v>0.8421</v>
      </c>
      <c r="H106" s="102">
        <v>0.8262</v>
      </c>
      <c r="I106" s="102">
        <v>0.8641</v>
      </c>
      <c r="J106" s="102">
        <v>0.8468</v>
      </c>
      <c r="K106" s="102">
        <v>0.8309</v>
      </c>
      <c r="L106" s="102">
        <v>0.8703</v>
      </c>
      <c r="M106" s="102">
        <v>0.8516</v>
      </c>
      <c r="N106" s="102">
        <v>0.8334</v>
      </c>
    </row>
    <row r="107" s="62" customFormat="1" ht="15" spans="1:14">
      <c r="A107" s="98"/>
      <c r="B107" s="99">
        <v>11</v>
      </c>
      <c r="C107" s="100">
        <v>0.8428</v>
      </c>
      <c r="D107" s="101">
        <v>0.83</v>
      </c>
      <c r="E107" s="101">
        <v>0.8231</v>
      </c>
      <c r="F107" s="100">
        <v>0.8594</v>
      </c>
      <c r="G107" s="102">
        <v>0.8443</v>
      </c>
      <c r="H107" s="102">
        <v>0.8286</v>
      </c>
      <c r="I107" s="102">
        <v>0.8666</v>
      </c>
      <c r="J107" s="102">
        <v>0.8505</v>
      </c>
      <c r="K107" s="102">
        <v>0.8313</v>
      </c>
      <c r="L107" s="102">
        <v>0.8705</v>
      </c>
      <c r="M107" s="102">
        <v>0.8553</v>
      </c>
      <c r="N107" s="102">
        <v>0.8259</v>
      </c>
    </row>
    <row r="108" s="62" customFormat="1" ht="15" spans="1:14">
      <c r="A108" s="98"/>
      <c r="B108" s="99">
        <v>12</v>
      </c>
      <c r="C108" s="100">
        <v>0.8468</v>
      </c>
      <c r="D108" s="101">
        <v>0.8369</v>
      </c>
      <c r="E108" s="101">
        <v>0.8255</v>
      </c>
      <c r="F108" s="100">
        <v>0.8619</v>
      </c>
      <c r="G108" s="102">
        <v>0.8446</v>
      </c>
      <c r="H108" s="102">
        <v>0.8283</v>
      </c>
      <c r="I108" s="102">
        <v>0.8701</v>
      </c>
      <c r="J108" s="102">
        <v>0.85</v>
      </c>
      <c r="K108" s="102">
        <v>0.8281</v>
      </c>
      <c r="L108" s="102">
        <v>0.8713</v>
      </c>
      <c r="M108" s="102">
        <v>0.8535</v>
      </c>
      <c r="N108" s="102">
        <v>0.8192</v>
      </c>
    </row>
    <row r="109" s="62" customFormat="1" ht="15" spans="1:14">
      <c r="A109" s="98"/>
      <c r="B109" s="99">
        <v>13</v>
      </c>
      <c r="C109" s="100">
        <v>0.8531</v>
      </c>
      <c r="D109" s="101">
        <v>0.8435</v>
      </c>
      <c r="E109" s="101">
        <v>0.829</v>
      </c>
      <c r="F109" s="100">
        <v>0.8674</v>
      </c>
      <c r="G109" s="102">
        <v>0.8517</v>
      </c>
      <c r="H109" s="102">
        <v>0.8366</v>
      </c>
      <c r="I109" s="102">
        <v>0.8747</v>
      </c>
      <c r="J109" s="102">
        <v>0.8539</v>
      </c>
      <c r="K109" s="102">
        <v>0.8362</v>
      </c>
      <c r="L109" s="102">
        <v>0.8779</v>
      </c>
      <c r="M109" s="102">
        <v>0.8557</v>
      </c>
      <c r="N109" s="102">
        <v>0.8373</v>
      </c>
    </row>
    <row r="110" s="62" customFormat="1" ht="15" spans="1:14">
      <c r="A110" s="98"/>
      <c r="B110" s="99">
        <v>14</v>
      </c>
      <c r="C110" s="100">
        <v>0.8558</v>
      </c>
      <c r="D110" s="101">
        <v>0.8442</v>
      </c>
      <c r="E110" s="101">
        <v>0.8306</v>
      </c>
      <c r="F110" s="100">
        <v>0.8694</v>
      </c>
      <c r="G110" s="102">
        <v>0.8527</v>
      </c>
      <c r="H110" s="102">
        <v>0.8353</v>
      </c>
      <c r="I110" s="102">
        <v>0.8747</v>
      </c>
      <c r="J110" s="102">
        <v>0.8584</v>
      </c>
      <c r="K110" s="102">
        <v>0.8253</v>
      </c>
      <c r="L110" s="102">
        <v>0.8781</v>
      </c>
      <c r="M110" s="102">
        <v>0.8513</v>
      </c>
      <c r="N110" s="102">
        <v>0.8287</v>
      </c>
    </row>
    <row r="111" s="62" customFormat="1" ht="15" spans="1:14">
      <c r="A111" s="98"/>
      <c r="B111" s="99">
        <v>15</v>
      </c>
      <c r="C111" s="100">
        <v>0.8629</v>
      </c>
      <c r="D111" s="101">
        <v>0.8463</v>
      </c>
      <c r="E111" s="101">
        <v>0.8323</v>
      </c>
      <c r="F111" s="100">
        <v>0.8737</v>
      </c>
      <c r="G111" s="102">
        <v>0.8544</v>
      </c>
      <c r="H111" s="102">
        <v>0.8253</v>
      </c>
      <c r="I111" s="102">
        <v>0.8796</v>
      </c>
      <c r="J111" s="102">
        <v>0.8581</v>
      </c>
      <c r="K111" s="102">
        <v>0.8228</v>
      </c>
      <c r="L111" s="102">
        <v>0.878</v>
      </c>
      <c r="M111" s="102">
        <v>0.8388</v>
      </c>
      <c r="N111" s="102">
        <v>0.8093</v>
      </c>
    </row>
    <row r="112" s="62" customFormat="1" ht="15" spans="1:14">
      <c r="A112" s="98"/>
      <c r="B112" s="99">
        <v>16</v>
      </c>
      <c r="C112" s="100">
        <v>0.8641</v>
      </c>
      <c r="D112" s="101">
        <v>0.8497</v>
      </c>
      <c r="E112" s="101">
        <v>0.8357</v>
      </c>
      <c r="F112" s="100">
        <v>0.8742</v>
      </c>
      <c r="G112" s="102">
        <v>0.8532</v>
      </c>
      <c r="H112" s="102">
        <v>0.8296</v>
      </c>
      <c r="I112" s="102">
        <v>0.8796</v>
      </c>
      <c r="J112" s="102">
        <v>0.8519</v>
      </c>
      <c r="K112" s="102">
        <v>0.8233</v>
      </c>
      <c r="L112" s="102">
        <v>0.8826</v>
      </c>
      <c r="M112" s="102">
        <v>0.8398</v>
      </c>
      <c r="N112" s="102">
        <v>0.8041</v>
      </c>
    </row>
    <row r="113" s="62" customFormat="1" ht="15" spans="1:14">
      <c r="A113" s="98"/>
      <c r="B113" s="99">
        <v>17</v>
      </c>
      <c r="C113" s="100">
        <v>0.8656</v>
      </c>
      <c r="D113" s="101">
        <v>0.8497</v>
      </c>
      <c r="E113" s="101">
        <v>0.8358</v>
      </c>
      <c r="F113" s="100">
        <v>0.8741</v>
      </c>
      <c r="G113" s="102">
        <v>0.8562</v>
      </c>
      <c r="H113" s="102">
        <v>0.8306</v>
      </c>
      <c r="I113" s="102">
        <v>0.8783</v>
      </c>
      <c r="J113" s="102">
        <v>0.8424</v>
      </c>
      <c r="K113" s="102">
        <v>0.8276</v>
      </c>
      <c r="L113" s="102">
        <v>0.8746</v>
      </c>
      <c r="M113" s="102">
        <v>0.8276</v>
      </c>
      <c r="N113" s="102">
        <v>0.7955</v>
      </c>
    </row>
    <row r="114" s="62" customFormat="1" ht="15" spans="1:14">
      <c r="A114" s="98"/>
      <c r="B114" s="99">
        <v>18</v>
      </c>
      <c r="C114" s="100">
        <v>0.8701</v>
      </c>
      <c r="D114" s="101">
        <v>0.8501</v>
      </c>
      <c r="E114" s="101">
        <v>0.8349</v>
      </c>
      <c r="F114" s="100">
        <v>0.8751</v>
      </c>
      <c r="G114" s="102">
        <v>0.8585</v>
      </c>
      <c r="H114" s="102">
        <v>0.8337</v>
      </c>
      <c r="I114" s="102">
        <v>0.8768</v>
      </c>
      <c r="J114" s="102">
        <v>0.8489</v>
      </c>
      <c r="K114" s="102">
        <v>0.8169</v>
      </c>
      <c r="L114" s="102">
        <v>0.8738</v>
      </c>
      <c r="M114" s="102">
        <v>0.8446</v>
      </c>
      <c r="N114" s="102">
        <v>0.7932</v>
      </c>
    </row>
    <row r="115" s="62" customFormat="1" ht="15" spans="1:14">
      <c r="A115" s="98"/>
      <c r="B115" s="99">
        <v>19</v>
      </c>
      <c r="C115" s="100">
        <v>0.871</v>
      </c>
      <c r="D115" s="101">
        <v>0.8518</v>
      </c>
      <c r="E115" s="101">
        <v>0.8348</v>
      </c>
      <c r="F115" s="100">
        <v>0.8752</v>
      </c>
      <c r="G115" s="102">
        <v>0.8497</v>
      </c>
      <c r="H115" s="102">
        <v>0.8381</v>
      </c>
      <c r="I115" s="102">
        <v>0.8793</v>
      </c>
      <c r="J115" s="102">
        <v>0.8517</v>
      </c>
      <c r="K115" s="102">
        <v>0.8092</v>
      </c>
      <c r="L115" s="102">
        <v>0.8669</v>
      </c>
      <c r="M115" s="102">
        <v>0.8288</v>
      </c>
      <c r="N115" s="102">
        <v>0.786</v>
      </c>
    </row>
    <row r="116" s="62" customFormat="1" ht="15" spans="1:14">
      <c r="A116" s="98"/>
      <c r="B116" s="99">
        <v>20</v>
      </c>
      <c r="C116" s="100">
        <v>0.8739</v>
      </c>
      <c r="D116" s="101">
        <v>0.8556</v>
      </c>
      <c r="E116" s="101">
        <v>0.8291</v>
      </c>
      <c r="F116" s="100">
        <v>0.8781</v>
      </c>
      <c r="G116" s="102">
        <v>0.8423</v>
      </c>
      <c r="H116" s="102">
        <v>0.8385</v>
      </c>
      <c r="I116" s="102">
        <v>0.8714</v>
      </c>
      <c r="J116" s="102">
        <v>0.8538</v>
      </c>
      <c r="K116" s="102">
        <v>0.8043</v>
      </c>
      <c r="L116" s="102">
        <v>0.8603</v>
      </c>
      <c r="M116" s="102">
        <v>0.8267</v>
      </c>
      <c r="N116" s="102">
        <v>0.784</v>
      </c>
    </row>
    <row r="117" s="62" customFormat="1" ht="15" spans="1:14">
      <c r="A117" s="98"/>
      <c r="B117" s="99">
        <v>21</v>
      </c>
      <c r="C117" s="100">
        <v>0.8732</v>
      </c>
      <c r="D117" s="101">
        <v>0.8559</v>
      </c>
      <c r="E117" s="101">
        <v>0.8148</v>
      </c>
      <c r="F117" s="100">
        <v>0.8772</v>
      </c>
      <c r="G117" s="102">
        <v>0.8417</v>
      </c>
      <c r="H117" s="102">
        <v>0.8424</v>
      </c>
      <c r="I117" s="102">
        <v>0.8697</v>
      </c>
      <c r="J117" s="102">
        <v>0.859</v>
      </c>
      <c r="K117" s="102">
        <v>0.8018</v>
      </c>
      <c r="L117" s="102">
        <v>0.8581</v>
      </c>
      <c r="M117" s="102">
        <v>0.8216</v>
      </c>
      <c r="N117" s="102">
        <v>0.7873</v>
      </c>
    </row>
    <row r="118" s="62" customFormat="1" ht="15" spans="1:14">
      <c r="A118" s="98"/>
      <c r="B118" s="99">
        <v>22</v>
      </c>
      <c r="C118" s="100">
        <v>0.8741</v>
      </c>
      <c r="D118" s="101">
        <v>0.8566</v>
      </c>
      <c r="E118" s="101">
        <v>0.8331</v>
      </c>
      <c r="F118" s="100">
        <v>0.8776</v>
      </c>
      <c r="G118" s="102">
        <v>0.8474</v>
      </c>
      <c r="H118" s="102">
        <v>0.8463</v>
      </c>
      <c r="I118" s="102">
        <v>0.8707</v>
      </c>
      <c r="J118" s="102">
        <v>0.8605</v>
      </c>
      <c r="K118" s="102">
        <v>0.7922</v>
      </c>
      <c r="L118" s="102">
        <v>0.8522</v>
      </c>
      <c r="M118" s="102">
        <v>0.8199</v>
      </c>
      <c r="N118" s="102">
        <v>0.7888</v>
      </c>
    </row>
    <row r="119" s="62" customFormat="1" ht="15" spans="1:14">
      <c r="A119" s="98"/>
      <c r="B119" s="99">
        <v>23</v>
      </c>
      <c r="C119" s="100">
        <v>0.8745</v>
      </c>
      <c r="D119" s="101">
        <v>0.8492</v>
      </c>
      <c r="E119" s="101">
        <v>0.8343</v>
      </c>
      <c r="F119" s="100">
        <v>0.8709</v>
      </c>
      <c r="G119" s="102">
        <v>0.8517</v>
      </c>
      <c r="H119" s="102">
        <v>0.848</v>
      </c>
      <c r="I119" s="102">
        <v>0.8637</v>
      </c>
      <c r="J119" s="102">
        <v>0.8683</v>
      </c>
      <c r="K119" s="102">
        <v>0.7919</v>
      </c>
      <c r="L119" s="102">
        <v>0.851</v>
      </c>
      <c r="M119" s="102">
        <v>0.8148</v>
      </c>
      <c r="N119" s="102">
        <v>0.7899</v>
      </c>
    </row>
    <row r="120" s="62" customFormat="1" ht="15" spans="1:14">
      <c r="A120" s="98"/>
      <c r="B120" s="99">
        <v>24</v>
      </c>
      <c r="C120" s="100">
        <v>0.8763</v>
      </c>
      <c r="D120" s="101">
        <v>0.8474</v>
      </c>
      <c r="E120" s="101">
        <v>0.8387</v>
      </c>
      <c r="F120" s="100">
        <v>0.87</v>
      </c>
      <c r="G120" s="102">
        <v>0.8553</v>
      </c>
      <c r="H120" s="102">
        <v>0.8524</v>
      </c>
      <c r="I120" s="102">
        <v>0.8578</v>
      </c>
      <c r="J120" s="102">
        <v>0.8908</v>
      </c>
      <c r="K120" s="102">
        <v>0.7923</v>
      </c>
      <c r="L120" s="102">
        <v>0.8474</v>
      </c>
      <c r="M120" s="102">
        <v>0.811</v>
      </c>
      <c r="N120" s="102">
        <v>0.7877</v>
      </c>
    </row>
    <row r="121" s="62" customFormat="1" ht="15" spans="1:14">
      <c r="A121" s="98"/>
      <c r="B121" s="99">
        <v>25</v>
      </c>
      <c r="C121" s="100">
        <v>0.8762</v>
      </c>
      <c r="D121" s="101">
        <v>0.8447</v>
      </c>
      <c r="E121" s="101">
        <v>0.8404</v>
      </c>
      <c r="F121" s="100">
        <v>0.8682</v>
      </c>
      <c r="G121" s="102">
        <v>0.8558</v>
      </c>
      <c r="H121" s="102">
        <v>0.8547</v>
      </c>
      <c r="I121" s="102">
        <v>0.8555</v>
      </c>
      <c r="J121" s="102">
        <v>0.8199</v>
      </c>
      <c r="K121" s="102">
        <v>0.7967</v>
      </c>
      <c r="L121" s="102">
        <v>0.8459</v>
      </c>
      <c r="M121" s="102">
        <v>0.8231</v>
      </c>
      <c r="N121" s="102">
        <v>0.795</v>
      </c>
    </row>
    <row r="124" ht="15" spans="1:14">
      <c r="A124" s="98">
        <v>0.4</v>
      </c>
      <c r="B124" s="99">
        <v>6</v>
      </c>
      <c r="C124" s="100">
        <v>0.7879</v>
      </c>
      <c r="D124" s="101">
        <v>0.7852</v>
      </c>
      <c r="E124" s="101">
        <v>0.7797</v>
      </c>
      <c r="F124" s="100">
        <v>0.8123</v>
      </c>
      <c r="G124" s="102">
        <v>0.8055</v>
      </c>
      <c r="H124" s="102">
        <v>0.7965</v>
      </c>
      <c r="I124" s="102">
        <v>0.8295</v>
      </c>
      <c r="J124" s="102">
        <v>0.8211</v>
      </c>
      <c r="K124" s="102">
        <v>0.808</v>
      </c>
      <c r="L124" s="102">
        <v>0.8396</v>
      </c>
      <c r="M124" s="102">
        <v>0.8294</v>
      </c>
      <c r="N124" s="102">
        <v>0.8199</v>
      </c>
    </row>
    <row r="125" ht="15" spans="1:14">
      <c r="A125" s="98"/>
      <c r="B125" s="99">
        <v>7</v>
      </c>
      <c r="C125" s="100">
        <v>0.8035</v>
      </c>
      <c r="D125" s="101">
        <v>0.7969</v>
      </c>
      <c r="E125" s="101">
        <v>0.7899</v>
      </c>
      <c r="F125" s="100">
        <v>0.8242</v>
      </c>
      <c r="G125" s="102">
        <v>0.815</v>
      </c>
      <c r="H125" s="102">
        <v>0.8042</v>
      </c>
      <c r="I125" s="102">
        <v>0.8395</v>
      </c>
      <c r="J125" s="102">
        <v>0.8281</v>
      </c>
      <c r="K125" s="102">
        <v>0.8182</v>
      </c>
      <c r="L125" s="102">
        <v>0.8479</v>
      </c>
      <c r="M125" s="102">
        <v>0.8425</v>
      </c>
      <c r="N125" s="102">
        <v>0.8248</v>
      </c>
    </row>
    <row r="126" ht="15" spans="1:14">
      <c r="A126" s="98"/>
      <c r="B126" s="99">
        <v>8</v>
      </c>
      <c r="C126" s="100">
        <v>0.8133</v>
      </c>
      <c r="D126" s="101">
        <v>0.8058</v>
      </c>
      <c r="E126" s="101">
        <v>0.7967</v>
      </c>
      <c r="F126" s="100">
        <v>0.8318</v>
      </c>
      <c r="G126" s="102">
        <v>0.8215</v>
      </c>
      <c r="H126" s="102">
        <v>0.8139</v>
      </c>
      <c r="I126" s="102">
        <v>0.8463</v>
      </c>
      <c r="J126" s="102">
        <v>0.8364</v>
      </c>
      <c r="K126" s="102">
        <v>0.8221</v>
      </c>
      <c r="L126" s="102">
        <v>0.8533</v>
      </c>
      <c r="M126" s="102">
        <v>0.8468</v>
      </c>
      <c r="N126" s="102">
        <v>0.8259</v>
      </c>
    </row>
    <row r="127" ht="15" spans="1:14">
      <c r="A127" s="98"/>
      <c r="B127" s="99">
        <v>9</v>
      </c>
      <c r="C127" s="100">
        <v>0.8209</v>
      </c>
      <c r="D127" s="101">
        <v>0.8127</v>
      </c>
      <c r="E127" s="101">
        <v>0.8021</v>
      </c>
      <c r="F127" s="100">
        <v>0.8378</v>
      </c>
      <c r="G127" s="102">
        <v>0.8288</v>
      </c>
      <c r="H127" s="102">
        <v>0.8206</v>
      </c>
      <c r="I127" s="102">
        <v>0.8512</v>
      </c>
      <c r="J127" s="102">
        <v>0.843</v>
      </c>
      <c r="K127" s="102">
        <v>0.8251</v>
      </c>
      <c r="L127" s="102">
        <v>0.8608</v>
      </c>
      <c r="M127" s="102">
        <v>0.8477</v>
      </c>
      <c r="N127" s="102">
        <v>0.8304</v>
      </c>
    </row>
    <row r="128" ht="15" spans="1:14">
      <c r="A128" s="98"/>
      <c r="B128" s="99">
        <v>10</v>
      </c>
      <c r="C128" s="100">
        <v>0.8276</v>
      </c>
      <c r="D128" s="101">
        <v>0.8183</v>
      </c>
      <c r="E128" s="101">
        <v>0.8097</v>
      </c>
      <c r="F128" s="100">
        <v>0.846</v>
      </c>
      <c r="G128" s="102">
        <v>0.8352</v>
      </c>
      <c r="H128" s="102">
        <v>0.8226</v>
      </c>
      <c r="I128" s="102">
        <v>0.8611</v>
      </c>
      <c r="J128" s="102">
        <v>0.8451</v>
      </c>
      <c r="K128" s="102">
        <v>0.8268</v>
      </c>
      <c r="L128" s="102">
        <v>0.8667</v>
      </c>
      <c r="M128" s="102">
        <v>0.8511</v>
      </c>
      <c r="N128" s="102">
        <v>0.8332</v>
      </c>
    </row>
    <row r="129" ht="15" spans="1:14">
      <c r="A129" s="98"/>
      <c r="B129" s="99">
        <v>11</v>
      </c>
      <c r="C129" s="100">
        <v>0.8323</v>
      </c>
      <c r="D129" s="101">
        <v>0.8224</v>
      </c>
      <c r="E129" s="101">
        <v>0.8175</v>
      </c>
      <c r="F129" s="100">
        <v>0.8492</v>
      </c>
      <c r="G129" s="102">
        <v>0.839</v>
      </c>
      <c r="H129" s="102">
        <v>0.8247</v>
      </c>
      <c r="I129" s="102">
        <v>0.8631</v>
      </c>
      <c r="J129" s="102">
        <v>0.8922</v>
      </c>
      <c r="K129" s="102">
        <v>0.8315</v>
      </c>
      <c r="L129" s="102">
        <v>0.8686</v>
      </c>
      <c r="M129" s="102">
        <v>0.8489</v>
      </c>
      <c r="N129" s="102">
        <v>0.835</v>
      </c>
    </row>
    <row r="130" ht="15" spans="1:14">
      <c r="A130" s="98"/>
      <c r="B130" s="99">
        <v>12</v>
      </c>
      <c r="C130" s="100">
        <v>0.8366</v>
      </c>
      <c r="D130" s="101">
        <v>0.8284</v>
      </c>
      <c r="E130" s="101">
        <v>0.8202</v>
      </c>
      <c r="F130" s="100">
        <v>0.8523</v>
      </c>
      <c r="G130" s="102">
        <v>0.841</v>
      </c>
      <c r="H130" s="102">
        <v>0.8292</v>
      </c>
      <c r="I130" s="102">
        <v>0.8649</v>
      </c>
      <c r="J130" s="102">
        <v>0.8498</v>
      </c>
      <c r="K130" s="102">
        <v>0.8297</v>
      </c>
      <c r="L130" s="102">
        <v>0.8686</v>
      </c>
      <c r="M130" s="102">
        <v>0.8537</v>
      </c>
      <c r="N130" s="102">
        <v>0.8297</v>
      </c>
    </row>
    <row r="131" ht="15" spans="1:14">
      <c r="A131" s="98"/>
      <c r="B131" s="99">
        <v>13</v>
      </c>
      <c r="C131" s="100">
        <v>0.8433</v>
      </c>
      <c r="D131" s="101">
        <v>0.8327</v>
      </c>
      <c r="E131" s="101">
        <v>0.8212</v>
      </c>
      <c r="F131" s="100">
        <v>0.8575</v>
      </c>
      <c r="G131" s="102">
        <v>0.8454</v>
      </c>
      <c r="H131" s="102">
        <v>0.8294</v>
      </c>
      <c r="I131" s="102">
        <v>0.8667</v>
      </c>
      <c r="J131" s="102">
        <v>0.8491</v>
      </c>
      <c r="K131" s="102">
        <v>0.8295</v>
      </c>
      <c r="L131" s="102">
        <v>0.8725</v>
      </c>
      <c r="M131" s="102">
        <v>0.8554</v>
      </c>
      <c r="N131" s="102">
        <v>0.8299</v>
      </c>
    </row>
    <row r="132" ht="15" spans="1:14">
      <c r="A132" s="98"/>
      <c r="B132" s="99">
        <v>14</v>
      </c>
      <c r="C132" s="100">
        <v>0.8502</v>
      </c>
      <c r="D132" s="101">
        <v>0.8397</v>
      </c>
      <c r="E132" s="101">
        <v>0.8296</v>
      </c>
      <c r="F132" s="100">
        <v>0.8664</v>
      </c>
      <c r="G132" s="102">
        <v>0.8494</v>
      </c>
      <c r="H132" s="102">
        <v>0.8342</v>
      </c>
      <c r="I132" s="102">
        <v>0.874</v>
      </c>
      <c r="J132" s="102">
        <v>0.8563</v>
      </c>
      <c r="K132" s="102">
        <v>0.8361</v>
      </c>
      <c r="L132" s="102">
        <v>0.8764</v>
      </c>
      <c r="M132" s="102">
        <v>0.8583</v>
      </c>
      <c r="N132" s="102">
        <v>0.8271</v>
      </c>
    </row>
    <row r="133" ht="15" spans="1:14">
      <c r="A133" s="98"/>
      <c r="B133" s="99">
        <v>15</v>
      </c>
      <c r="C133" s="100">
        <v>0.8541</v>
      </c>
      <c r="D133" s="101">
        <v>0.8421</v>
      </c>
      <c r="E133" s="101">
        <v>0.8285</v>
      </c>
      <c r="F133" s="100">
        <v>0.8677</v>
      </c>
      <c r="G133" s="102">
        <v>0.8506</v>
      </c>
      <c r="H133" s="102">
        <v>0.8342</v>
      </c>
      <c r="I133" s="102">
        <v>0.8752</v>
      </c>
      <c r="J133" s="102">
        <v>0.8553</v>
      </c>
      <c r="K133" s="102">
        <v>0.8344</v>
      </c>
      <c r="L133" s="102">
        <v>0.8775</v>
      </c>
      <c r="M133" s="102">
        <v>0.8479</v>
      </c>
      <c r="N133" s="102">
        <v>0.8393</v>
      </c>
    </row>
    <row r="134" ht="15" spans="1:14">
      <c r="A134" s="98"/>
      <c r="B134" s="99">
        <v>16</v>
      </c>
      <c r="C134" s="100">
        <v>0.8565</v>
      </c>
      <c r="D134" s="101">
        <v>0.8447</v>
      </c>
      <c r="E134" s="101">
        <v>0.8303</v>
      </c>
      <c r="F134" s="100">
        <v>0.8695</v>
      </c>
      <c r="G134" s="102">
        <v>0.8524</v>
      </c>
      <c r="H134" s="102">
        <v>0.8351</v>
      </c>
      <c r="I134" s="102">
        <v>0.8751</v>
      </c>
      <c r="J134" s="102">
        <v>0.8581</v>
      </c>
      <c r="K134" s="102">
        <v>0.8241</v>
      </c>
      <c r="L134" s="102">
        <v>0.8787</v>
      </c>
      <c r="M134" s="102">
        <v>0.8391</v>
      </c>
      <c r="N134" s="102">
        <v>0.828</v>
      </c>
    </row>
    <row r="135" ht="15" spans="1:14">
      <c r="A135" s="98"/>
      <c r="B135" s="99">
        <v>17</v>
      </c>
      <c r="C135" s="100">
        <v>0.8628</v>
      </c>
      <c r="D135" s="101">
        <v>0.8497</v>
      </c>
      <c r="E135" s="101">
        <v>0.8321</v>
      </c>
      <c r="F135" s="100">
        <v>0.8719</v>
      </c>
      <c r="G135" s="102">
        <v>0.8538</v>
      </c>
      <c r="H135" s="102">
        <v>0.84</v>
      </c>
      <c r="I135" s="102">
        <v>0.8781</v>
      </c>
      <c r="J135" s="102">
        <v>0.8593</v>
      </c>
      <c r="K135" s="102">
        <v>0.8192</v>
      </c>
      <c r="L135" s="102">
        <v>0.8784</v>
      </c>
      <c r="M135" s="102">
        <v>0.8349</v>
      </c>
      <c r="N135" s="102">
        <v>0.8103</v>
      </c>
    </row>
    <row r="136" ht="15" spans="1:14">
      <c r="A136" s="98"/>
      <c r="B136" s="99">
        <v>18</v>
      </c>
      <c r="C136" s="100">
        <v>0.8641</v>
      </c>
      <c r="D136" s="101">
        <v>0.85</v>
      </c>
      <c r="E136" s="101">
        <v>0.8357</v>
      </c>
      <c r="F136" s="100">
        <v>0.8713</v>
      </c>
      <c r="G136" s="102">
        <v>0.8532</v>
      </c>
      <c r="H136" s="102">
        <v>0.8276</v>
      </c>
      <c r="I136" s="102">
        <v>0.878</v>
      </c>
      <c r="J136" s="102">
        <v>0.8519</v>
      </c>
      <c r="K136" s="102">
        <v>0.8242</v>
      </c>
      <c r="L136" s="102">
        <v>0.8798</v>
      </c>
      <c r="M136" s="102">
        <v>0.8367</v>
      </c>
      <c r="N136" s="102">
        <v>0.8062</v>
      </c>
    </row>
    <row r="137" ht="15" spans="1:14">
      <c r="A137" s="98"/>
      <c r="B137" s="99">
        <v>19</v>
      </c>
      <c r="C137" s="100">
        <v>0.865</v>
      </c>
      <c r="D137" s="101">
        <v>0.8504</v>
      </c>
      <c r="E137" s="101">
        <v>0.836</v>
      </c>
      <c r="F137" s="100">
        <v>0.8763</v>
      </c>
      <c r="G137" s="102">
        <v>0.8552</v>
      </c>
      <c r="H137" s="102">
        <v>0.8214</v>
      </c>
      <c r="I137" s="102">
        <v>0.8766</v>
      </c>
      <c r="J137" s="102">
        <v>0.8453</v>
      </c>
      <c r="K137" s="102">
        <v>0.824</v>
      </c>
      <c r="L137" s="102">
        <v>0.8751</v>
      </c>
      <c r="M137" s="102">
        <v>0.8366</v>
      </c>
      <c r="N137" s="102">
        <v>0.798</v>
      </c>
    </row>
    <row r="138" ht="15" spans="1:14">
      <c r="A138" s="98"/>
      <c r="B138" s="99">
        <v>20</v>
      </c>
      <c r="C138" s="100">
        <v>0.8693</v>
      </c>
      <c r="D138" s="101">
        <v>0.8519</v>
      </c>
      <c r="E138" s="101">
        <v>0.8342</v>
      </c>
      <c r="F138" s="100">
        <v>0.8757</v>
      </c>
      <c r="G138" s="102">
        <v>0.8556</v>
      </c>
      <c r="H138" s="102">
        <v>0.8346</v>
      </c>
      <c r="I138" s="102">
        <v>0.8797</v>
      </c>
      <c r="J138" s="102">
        <v>0.849</v>
      </c>
      <c r="K138" s="102">
        <v>0.8224</v>
      </c>
      <c r="L138" s="102">
        <v>0.8739</v>
      </c>
      <c r="M138" s="102">
        <v>0.8191</v>
      </c>
      <c r="N138" s="102">
        <v>0.7963</v>
      </c>
    </row>
    <row r="139" ht="15" spans="1:14">
      <c r="A139" s="98"/>
      <c r="B139" s="99">
        <v>21</v>
      </c>
      <c r="C139" s="100">
        <v>0.8701</v>
      </c>
      <c r="D139" s="101">
        <v>0.8507</v>
      </c>
      <c r="E139" s="101">
        <v>0.8356</v>
      </c>
      <c r="F139" s="100">
        <v>0.8764</v>
      </c>
      <c r="G139" s="102">
        <v>0.8523</v>
      </c>
      <c r="H139" s="102">
        <v>0.8364</v>
      </c>
      <c r="I139" s="102">
        <v>0.8801</v>
      </c>
      <c r="J139" s="102">
        <v>0.8535</v>
      </c>
      <c r="K139" s="102">
        <v>0.8123</v>
      </c>
      <c r="L139" s="102">
        <v>0.8707</v>
      </c>
      <c r="M139" s="102">
        <v>0.8469</v>
      </c>
      <c r="N139" s="102">
        <v>0.7889</v>
      </c>
    </row>
    <row r="140" ht="15" spans="1:14">
      <c r="A140" s="98"/>
      <c r="B140" s="99">
        <v>22</v>
      </c>
      <c r="C140" s="100">
        <v>0.872</v>
      </c>
      <c r="D140" s="101">
        <v>0.8534</v>
      </c>
      <c r="E140" s="101">
        <v>0.8333</v>
      </c>
      <c r="F140" s="100">
        <v>0.876</v>
      </c>
      <c r="G140" s="102">
        <v>0.8478</v>
      </c>
      <c r="H140" s="102">
        <v>0.839</v>
      </c>
      <c r="I140" s="102">
        <v>0.8747</v>
      </c>
      <c r="J140" s="102">
        <v>0.8536</v>
      </c>
      <c r="K140" s="102">
        <v>0.8056</v>
      </c>
      <c r="L140" s="102">
        <v>0.8626</v>
      </c>
      <c r="M140" s="102">
        <v>0.8276</v>
      </c>
      <c r="N140" s="102">
        <v>0.785</v>
      </c>
    </row>
    <row r="141" ht="15" spans="1:14">
      <c r="A141" s="98"/>
      <c r="B141" s="99">
        <v>23</v>
      </c>
      <c r="C141" s="100">
        <v>0.8715</v>
      </c>
      <c r="D141" s="101">
        <v>0.8542</v>
      </c>
      <c r="E141" s="101">
        <v>0.8325</v>
      </c>
      <c r="F141" s="100">
        <v>0.876</v>
      </c>
      <c r="G141" s="102">
        <v>0.8422</v>
      </c>
      <c r="H141" s="102">
        <v>0.84</v>
      </c>
      <c r="I141" s="102">
        <v>0.8716</v>
      </c>
      <c r="J141" s="102">
        <v>0.8552</v>
      </c>
      <c r="K141" s="102">
        <v>0.805</v>
      </c>
      <c r="L141" s="102">
        <v>0.861</v>
      </c>
      <c r="M141" s="102">
        <v>0.8232</v>
      </c>
      <c r="N141" s="102">
        <v>0.7887</v>
      </c>
    </row>
    <row r="142" ht="15" spans="1:14">
      <c r="A142" s="98"/>
      <c r="B142" s="99">
        <v>24</v>
      </c>
      <c r="C142" s="100">
        <v>0.8733</v>
      </c>
      <c r="D142" s="101">
        <v>0.8513</v>
      </c>
      <c r="E142" s="101">
        <v>0.8099</v>
      </c>
      <c r="F142" s="100">
        <v>0.8787</v>
      </c>
      <c r="G142" s="102">
        <v>0.8398</v>
      </c>
      <c r="H142" s="102">
        <v>0.8428</v>
      </c>
      <c r="I142" s="102">
        <v>0.8704</v>
      </c>
      <c r="J142" s="102">
        <v>0.8581</v>
      </c>
      <c r="K142" s="102">
        <v>0.7995</v>
      </c>
      <c r="L142" s="102">
        <v>0.8564</v>
      </c>
      <c r="M142" s="102">
        <v>0.8217</v>
      </c>
      <c r="N142" s="102">
        <v>0.7859</v>
      </c>
    </row>
    <row r="143" ht="15" spans="1:14">
      <c r="A143" s="98"/>
      <c r="B143" s="99">
        <v>25</v>
      </c>
      <c r="C143" s="100">
        <v>0.874</v>
      </c>
      <c r="D143" s="101">
        <v>0.8556</v>
      </c>
      <c r="E143" s="101">
        <v>0.8318</v>
      </c>
      <c r="F143" s="100">
        <v>0.8783</v>
      </c>
      <c r="G143" s="102">
        <v>0.8462</v>
      </c>
      <c r="H143" s="102">
        <v>0.8452</v>
      </c>
      <c r="I143" s="102">
        <v>0.8678</v>
      </c>
      <c r="J143" s="102">
        <v>0.8602</v>
      </c>
      <c r="K143" s="102">
        <v>0.7923</v>
      </c>
      <c r="L143" s="102">
        <v>0.8524</v>
      </c>
      <c r="M143" s="102">
        <v>0.8242</v>
      </c>
      <c r="N143" s="102">
        <v>0.7881</v>
      </c>
    </row>
    <row r="146" ht="15" spans="1:14">
      <c r="A146" s="98">
        <v>0.35</v>
      </c>
      <c r="B146" s="99">
        <v>6</v>
      </c>
      <c r="C146" s="100">
        <v>0.773</v>
      </c>
      <c r="D146" s="101">
        <v>0.7732</v>
      </c>
      <c r="E146" s="101">
        <v>0.7724</v>
      </c>
      <c r="F146" s="100">
        <v>0.8029</v>
      </c>
      <c r="G146" s="102">
        <v>0.7974</v>
      </c>
      <c r="H146" s="102">
        <v>0.7905</v>
      </c>
      <c r="I146" s="102">
        <v>0.8206</v>
      </c>
      <c r="J146" s="102">
        <v>0.8133</v>
      </c>
      <c r="K146" s="102">
        <v>0.8013</v>
      </c>
      <c r="L146" s="102">
        <v>0.8328</v>
      </c>
      <c r="M146" s="102">
        <v>0.8243</v>
      </c>
      <c r="N146" s="102">
        <v>0.8147</v>
      </c>
    </row>
    <row r="147" ht="15" spans="1:14">
      <c r="A147" s="98"/>
      <c r="B147" s="99">
        <v>7</v>
      </c>
      <c r="C147" s="100">
        <v>0.7896</v>
      </c>
      <c r="D147" s="101">
        <v>0.7863</v>
      </c>
      <c r="E147" s="101">
        <v>0.7827</v>
      </c>
      <c r="F147" s="100">
        <v>0.8151</v>
      </c>
      <c r="G147" s="102">
        <v>0.8084</v>
      </c>
      <c r="H147" s="102">
        <v>0.7986</v>
      </c>
      <c r="I147" s="102">
        <v>0.8309</v>
      </c>
      <c r="J147" s="102">
        <v>0.8112</v>
      </c>
      <c r="K147" s="102">
        <v>0.8083</v>
      </c>
      <c r="L147" s="102">
        <v>0.8414</v>
      </c>
      <c r="M147" s="102">
        <v>0.8302</v>
      </c>
      <c r="N147" s="102">
        <v>0.8211</v>
      </c>
    </row>
    <row r="148" ht="15" spans="1:14">
      <c r="A148" s="98"/>
      <c r="B148" s="99">
        <v>8</v>
      </c>
      <c r="C148" s="100">
        <v>0.8032</v>
      </c>
      <c r="D148" s="101">
        <v>0.7956</v>
      </c>
      <c r="E148" s="101">
        <v>0.7922</v>
      </c>
      <c r="F148" s="100">
        <v>0.8243</v>
      </c>
      <c r="G148" s="102">
        <v>0.8157</v>
      </c>
      <c r="H148" s="102">
        <v>0.8054</v>
      </c>
      <c r="I148" s="102">
        <v>0.839</v>
      </c>
      <c r="J148" s="102">
        <v>0.8269</v>
      </c>
      <c r="K148" s="102">
        <v>0.8201</v>
      </c>
      <c r="L148" s="102">
        <v>0.8478</v>
      </c>
      <c r="M148" s="102">
        <v>0.8387</v>
      </c>
      <c r="N148" s="102">
        <v>0.8233</v>
      </c>
    </row>
    <row r="149" ht="15" spans="1:14">
      <c r="A149" s="98"/>
      <c r="B149" s="99">
        <v>9</v>
      </c>
      <c r="C149" s="100">
        <v>0.8115</v>
      </c>
      <c r="D149" s="101">
        <v>0.8042</v>
      </c>
      <c r="E149" s="101">
        <v>0.7978</v>
      </c>
      <c r="F149" s="100">
        <v>0.8308</v>
      </c>
      <c r="G149" s="102">
        <v>0.8216</v>
      </c>
      <c r="H149" s="102">
        <v>0.8135</v>
      </c>
      <c r="I149" s="102">
        <v>0.8447</v>
      </c>
      <c r="J149" s="102">
        <v>0.8393</v>
      </c>
      <c r="K149" s="102">
        <v>0.8235</v>
      </c>
      <c r="L149" s="102">
        <v>0.8526</v>
      </c>
      <c r="M149" s="102">
        <v>0.8423</v>
      </c>
      <c r="N149" s="102">
        <v>0.8277</v>
      </c>
    </row>
    <row r="150" ht="15" spans="1:14">
      <c r="A150" s="98"/>
      <c r="B150" s="99">
        <v>10</v>
      </c>
      <c r="C150" s="100">
        <v>0.8189</v>
      </c>
      <c r="D150" s="101">
        <v>0.8122</v>
      </c>
      <c r="E150" s="101">
        <v>0.8045</v>
      </c>
      <c r="F150" s="100">
        <v>0.84</v>
      </c>
      <c r="G150" s="102">
        <v>0.8266</v>
      </c>
      <c r="H150" s="102">
        <v>0.819</v>
      </c>
      <c r="I150" s="102">
        <v>0.8498</v>
      </c>
      <c r="J150" s="102">
        <v>0.841</v>
      </c>
      <c r="K150" s="102">
        <v>0.8264</v>
      </c>
      <c r="L150" s="102">
        <v>0.8641</v>
      </c>
      <c r="M150" s="102">
        <v>0.8481</v>
      </c>
      <c r="N150" s="102">
        <v>0.8288</v>
      </c>
    </row>
    <row r="151" ht="15" spans="1:14">
      <c r="A151" s="98"/>
      <c r="B151" s="99">
        <v>11</v>
      </c>
      <c r="C151" s="100">
        <v>0.827</v>
      </c>
      <c r="D151" s="101">
        <v>0.8172</v>
      </c>
      <c r="E151" s="101">
        <v>0.8101</v>
      </c>
      <c r="F151" s="100">
        <v>0.8445</v>
      </c>
      <c r="G151" s="102">
        <v>0.8354</v>
      </c>
      <c r="H151" s="102">
        <v>0.8238</v>
      </c>
      <c r="I151" s="102">
        <v>0.856</v>
      </c>
      <c r="J151" s="102">
        <v>0.8441</v>
      </c>
      <c r="K151" s="102">
        <v>0.8266</v>
      </c>
      <c r="L151" s="102">
        <v>0.8638</v>
      </c>
      <c r="M151" s="102">
        <v>0.8491</v>
      </c>
      <c r="N151" s="102">
        <v>0.8321</v>
      </c>
    </row>
    <row r="152" ht="15" spans="1:14">
      <c r="A152" s="98"/>
      <c r="B152" s="99">
        <v>12</v>
      </c>
      <c r="C152" s="100">
        <v>0.8316</v>
      </c>
      <c r="D152" s="101">
        <v>0.8212</v>
      </c>
      <c r="E152" s="101">
        <v>0.8172</v>
      </c>
      <c r="F152" s="100">
        <v>0.8481</v>
      </c>
      <c r="G152" s="102">
        <v>0.8387</v>
      </c>
      <c r="H152" s="102">
        <v>0.8267</v>
      </c>
      <c r="I152" s="102">
        <v>0.8641</v>
      </c>
      <c r="J152" s="102">
        <v>0.8466</v>
      </c>
      <c r="K152" s="102">
        <v>0.8313</v>
      </c>
      <c r="L152" s="102">
        <v>0.8659</v>
      </c>
      <c r="M152" s="102">
        <v>0.8499</v>
      </c>
      <c r="N152" s="102">
        <v>0.8313</v>
      </c>
    </row>
    <row r="153" ht="15" spans="1:14">
      <c r="A153" s="98"/>
      <c r="B153" s="99">
        <v>13</v>
      </c>
      <c r="C153" s="100">
        <v>0.8351</v>
      </c>
      <c r="D153" s="101">
        <v>0.8242</v>
      </c>
      <c r="E153" s="101">
        <v>0.8202</v>
      </c>
      <c r="F153" s="100">
        <v>0.8512</v>
      </c>
      <c r="G153" s="102">
        <v>0.84</v>
      </c>
      <c r="H153" s="102">
        <v>0.825</v>
      </c>
      <c r="I153" s="102">
        <v>0.8655</v>
      </c>
      <c r="J153" s="102">
        <v>0.849</v>
      </c>
      <c r="K153" s="102">
        <v>0.831</v>
      </c>
      <c r="L153" s="102">
        <v>0.8686</v>
      </c>
      <c r="M153" s="102">
        <v>0.8532</v>
      </c>
      <c r="N153" s="102">
        <v>0.8322</v>
      </c>
    </row>
    <row r="154" ht="15" spans="1:14">
      <c r="A154" s="98"/>
      <c r="B154" s="99">
        <v>14</v>
      </c>
      <c r="C154" s="100">
        <v>0.8389</v>
      </c>
      <c r="D154" s="101">
        <v>0.8286</v>
      </c>
      <c r="E154" s="101">
        <v>0.8215</v>
      </c>
      <c r="F154" s="100">
        <v>0.8578</v>
      </c>
      <c r="G154" s="102">
        <v>0.8426</v>
      </c>
      <c r="H154" s="102">
        <v>0.83</v>
      </c>
      <c r="I154" s="102">
        <v>0.8651</v>
      </c>
      <c r="J154" s="102">
        <v>0.8495</v>
      </c>
      <c r="K154" s="102">
        <v>0.8324</v>
      </c>
      <c r="L154" s="102">
        <v>0.8726</v>
      </c>
      <c r="M154" s="102">
        <v>0.8491</v>
      </c>
      <c r="N154" s="102">
        <v>0.8256</v>
      </c>
    </row>
    <row r="155" ht="15" spans="1:14">
      <c r="A155" s="98"/>
      <c r="B155" s="99">
        <v>15</v>
      </c>
      <c r="C155" s="100">
        <v>0.8493</v>
      </c>
      <c r="D155" s="101">
        <v>0.8401</v>
      </c>
      <c r="E155" s="101">
        <v>0.8271</v>
      </c>
      <c r="F155" s="100">
        <v>0.8649</v>
      </c>
      <c r="G155" s="102">
        <v>0.8499</v>
      </c>
      <c r="H155" s="102">
        <v>0.8342</v>
      </c>
      <c r="I155" s="102">
        <v>0.8713</v>
      </c>
      <c r="J155" s="102">
        <v>0.8539</v>
      </c>
      <c r="K155" s="102">
        <v>0.8357</v>
      </c>
      <c r="L155" s="102">
        <v>0.8765</v>
      </c>
      <c r="M155" s="102">
        <v>0.8552</v>
      </c>
      <c r="N155" s="102">
        <v>0.8315</v>
      </c>
    </row>
    <row r="156" ht="15" spans="1:14">
      <c r="A156" s="98"/>
      <c r="B156" s="99">
        <v>16</v>
      </c>
      <c r="C156" s="100">
        <v>0.8518</v>
      </c>
      <c r="D156" s="101">
        <v>0.8406</v>
      </c>
      <c r="E156" s="101">
        <v>0.8294</v>
      </c>
      <c r="F156" s="100">
        <v>0.8661</v>
      </c>
      <c r="G156" s="102">
        <v>0.8503</v>
      </c>
      <c r="H156" s="102">
        <v>0.8348</v>
      </c>
      <c r="I156" s="102">
        <v>0.8732</v>
      </c>
      <c r="J156" s="102">
        <v>0.8546</v>
      </c>
      <c r="K156" s="102">
        <v>0.8354</v>
      </c>
      <c r="L156" s="102">
        <v>0.8776</v>
      </c>
      <c r="M156" s="102">
        <v>0.858</v>
      </c>
      <c r="N156" s="102">
        <v>0.8251</v>
      </c>
    </row>
    <row r="157" ht="15" spans="1:14">
      <c r="A157" s="98"/>
      <c r="B157" s="99">
        <v>17</v>
      </c>
      <c r="C157" s="100">
        <v>0.8549</v>
      </c>
      <c r="D157" s="101">
        <v>0.843</v>
      </c>
      <c r="E157" s="101">
        <v>0.8312</v>
      </c>
      <c r="F157" s="100">
        <v>0.8691</v>
      </c>
      <c r="G157" s="102">
        <v>0.8505</v>
      </c>
      <c r="H157" s="102">
        <v>0.8373</v>
      </c>
      <c r="I157" s="102">
        <v>0.8752</v>
      </c>
      <c r="J157" s="102">
        <v>0.857</v>
      </c>
      <c r="K157" s="102">
        <v>0.8351</v>
      </c>
      <c r="L157" s="102">
        <v>0.8782</v>
      </c>
      <c r="M157" s="102">
        <v>0.8597</v>
      </c>
      <c r="N157" s="102">
        <v>0.8382</v>
      </c>
    </row>
    <row r="158" ht="15" spans="1:14">
      <c r="A158" s="98"/>
      <c r="B158" s="99">
        <v>18</v>
      </c>
      <c r="C158" s="100">
        <v>0.8568</v>
      </c>
      <c r="D158" s="101">
        <v>0.847</v>
      </c>
      <c r="E158" s="101">
        <v>0.833</v>
      </c>
      <c r="F158" s="100">
        <v>0.8698</v>
      </c>
      <c r="G158" s="102">
        <v>0.8537</v>
      </c>
      <c r="H158" s="102">
        <v>0.8379</v>
      </c>
      <c r="I158" s="102">
        <v>0.8758</v>
      </c>
      <c r="J158" s="102">
        <v>0.8563</v>
      </c>
      <c r="K158" s="102">
        <v>0.8231</v>
      </c>
      <c r="L158" s="102">
        <v>0.877</v>
      </c>
      <c r="M158" s="102">
        <v>0.8494</v>
      </c>
      <c r="N158" s="102">
        <v>0.8304</v>
      </c>
    </row>
    <row r="159" ht="15" spans="1:14">
      <c r="A159" s="98"/>
      <c r="B159" s="99">
        <v>19</v>
      </c>
      <c r="C159" s="100">
        <v>0.8628</v>
      </c>
      <c r="D159" s="101">
        <v>0.849</v>
      </c>
      <c r="E159" s="101">
        <v>0.8333</v>
      </c>
      <c r="F159" s="100">
        <v>0.8737</v>
      </c>
      <c r="G159" s="102">
        <v>0.8542</v>
      </c>
      <c r="H159" s="102">
        <v>0.8385</v>
      </c>
      <c r="I159" s="102">
        <v>0.8777</v>
      </c>
      <c r="J159" s="102">
        <v>0.8555</v>
      </c>
      <c r="K159" s="102">
        <v>0.8218</v>
      </c>
      <c r="L159" s="102">
        <v>0.8785</v>
      </c>
      <c r="M159" s="102">
        <v>0.8464</v>
      </c>
      <c r="N159" s="102">
        <v>0.8145</v>
      </c>
    </row>
    <row r="160" ht="15" spans="1:14">
      <c r="A160" s="98"/>
      <c r="B160" s="99">
        <v>20</v>
      </c>
      <c r="C160" s="100">
        <v>0.8634</v>
      </c>
      <c r="D160" s="101">
        <v>0.8506</v>
      </c>
      <c r="E160" s="101">
        <v>0.835</v>
      </c>
      <c r="F160" s="100">
        <v>0.8743</v>
      </c>
      <c r="G160" s="102">
        <v>0.8547</v>
      </c>
      <c r="H160" s="102">
        <v>0.8369</v>
      </c>
      <c r="I160" s="102">
        <v>0.8787</v>
      </c>
      <c r="J160" s="102">
        <v>0.8603</v>
      </c>
      <c r="K160" s="102">
        <v>0.8217</v>
      </c>
      <c r="L160" s="102">
        <v>0.8787</v>
      </c>
      <c r="M160" s="102">
        <v>0.8348</v>
      </c>
      <c r="N160" s="102">
        <v>0.8072</v>
      </c>
    </row>
    <row r="161" ht="15" spans="1:14">
      <c r="A161" s="98"/>
      <c r="B161" s="99">
        <v>21</v>
      </c>
      <c r="C161" s="100">
        <v>0.8678</v>
      </c>
      <c r="D161" s="101">
        <v>0.851</v>
      </c>
      <c r="E161" s="101">
        <v>0.8384</v>
      </c>
      <c r="F161" s="100">
        <v>0.8749</v>
      </c>
      <c r="G161" s="102">
        <v>0.8561</v>
      </c>
      <c r="H161" s="102">
        <v>0.8331</v>
      </c>
      <c r="I161" s="102">
        <v>0.8773</v>
      </c>
      <c r="J161" s="102">
        <v>0.8498</v>
      </c>
      <c r="K161" s="102">
        <v>0.8258</v>
      </c>
      <c r="L161" s="102">
        <v>0.8811</v>
      </c>
      <c r="M161" s="102">
        <v>0.8352</v>
      </c>
      <c r="N161" s="102">
        <v>0.8007</v>
      </c>
    </row>
    <row r="162" ht="15" spans="1:14">
      <c r="A162" s="98"/>
      <c r="B162" s="99">
        <v>22</v>
      </c>
      <c r="C162" s="100">
        <v>0.8683</v>
      </c>
      <c r="D162" s="101">
        <v>0.8511</v>
      </c>
      <c r="E162" s="101">
        <v>0.8383</v>
      </c>
      <c r="F162" s="100">
        <v>0.8755</v>
      </c>
      <c r="G162" s="102">
        <v>0.8552</v>
      </c>
      <c r="H162" s="102">
        <v>0.8293</v>
      </c>
      <c r="I162" s="102">
        <v>0.8776</v>
      </c>
      <c r="J162" s="102">
        <v>0.8425</v>
      </c>
      <c r="K162" s="102">
        <v>0.8265</v>
      </c>
      <c r="L162" s="102">
        <v>0.8737</v>
      </c>
      <c r="M162" s="102">
        <v>0.8296</v>
      </c>
      <c r="N162" s="102">
        <v>0.7979</v>
      </c>
    </row>
    <row r="163" ht="15" spans="1:14">
      <c r="A163" s="98"/>
      <c r="B163" s="99">
        <v>23</v>
      </c>
      <c r="C163" s="100">
        <v>0.8683</v>
      </c>
      <c r="D163" s="101">
        <v>0.8536</v>
      </c>
      <c r="E163" s="101">
        <v>0.8367</v>
      </c>
      <c r="F163" s="100">
        <v>0.8757</v>
      </c>
      <c r="G163" s="102">
        <v>0.8545</v>
      </c>
      <c r="H163" s="102">
        <v>0.8344</v>
      </c>
      <c r="I163" s="102">
        <v>0.8794</v>
      </c>
      <c r="J163" s="102">
        <v>0.8449</v>
      </c>
      <c r="K163" s="102">
        <v>0.8224</v>
      </c>
      <c r="L163" s="102">
        <v>0.874</v>
      </c>
      <c r="M163" s="102">
        <v>0.8195</v>
      </c>
      <c r="N163" s="102">
        <v>0.7938</v>
      </c>
    </row>
    <row r="164" ht="15" spans="1:14">
      <c r="A164" s="98"/>
      <c r="B164" s="99">
        <v>24</v>
      </c>
      <c r="C164" s="100">
        <v>0.8693</v>
      </c>
      <c r="D164" s="101">
        <v>0.854</v>
      </c>
      <c r="E164" s="101">
        <v>0.8369</v>
      </c>
      <c r="F164" s="100">
        <v>0.8789</v>
      </c>
      <c r="G164" s="102">
        <v>0.8555</v>
      </c>
      <c r="H164" s="102">
        <v>0.8361</v>
      </c>
      <c r="I164" s="102">
        <v>0.8803</v>
      </c>
      <c r="J164" s="102">
        <v>0.8493</v>
      </c>
      <c r="K164" s="102">
        <v>0.8098</v>
      </c>
      <c r="L164" s="102">
        <v>0.8715</v>
      </c>
      <c r="M164" s="102">
        <v>0.8481</v>
      </c>
      <c r="N164" s="102">
        <v>0.79</v>
      </c>
    </row>
    <row r="165" ht="15" spans="1:14">
      <c r="A165" s="98"/>
      <c r="B165" s="99">
        <v>25</v>
      </c>
      <c r="C165" s="100">
        <v>0.8714</v>
      </c>
      <c r="D165" s="101">
        <v>0.8541</v>
      </c>
      <c r="E165" s="101">
        <v>0.8344</v>
      </c>
      <c r="F165" s="100">
        <v>0.8782</v>
      </c>
      <c r="G165" s="102">
        <v>0.849</v>
      </c>
      <c r="H165" s="102">
        <v>0.8387</v>
      </c>
      <c r="I165" s="102">
        <v>0.8776</v>
      </c>
      <c r="J165" s="102">
        <v>0.8518</v>
      </c>
      <c r="K165" s="102">
        <v>0.8069</v>
      </c>
      <c r="L165" s="102">
        <v>0.8647</v>
      </c>
      <c r="M165" s="102">
        <v>0.8316</v>
      </c>
      <c r="N165" s="102">
        <v>0.7845</v>
      </c>
    </row>
    <row r="168" ht="15" spans="1:14">
      <c r="A168" s="98">
        <v>0.3</v>
      </c>
      <c r="B168" s="99">
        <v>6</v>
      </c>
      <c r="C168" s="100">
        <v>0.7553</v>
      </c>
      <c r="D168" s="101">
        <v>0.7588</v>
      </c>
      <c r="E168" s="101">
        <v>0.7574</v>
      </c>
      <c r="F168" s="100">
        <v>0.7869</v>
      </c>
      <c r="G168" s="102">
        <v>0.7852</v>
      </c>
      <c r="H168" s="102">
        <v>0.7795</v>
      </c>
      <c r="I168" s="102">
        <v>0.8083</v>
      </c>
      <c r="J168" s="102">
        <v>0.8027</v>
      </c>
      <c r="K168" s="102">
        <v>0.7942</v>
      </c>
      <c r="L168" s="102">
        <v>0.8223</v>
      </c>
      <c r="M168" s="102">
        <v>0.8155</v>
      </c>
      <c r="N168" s="102">
        <v>0.8036</v>
      </c>
    </row>
    <row r="169" ht="15" spans="1:14">
      <c r="A169" s="98"/>
      <c r="B169" s="99">
        <v>7</v>
      </c>
      <c r="C169" s="100">
        <v>0.7734</v>
      </c>
      <c r="D169" s="101">
        <v>0.7728</v>
      </c>
      <c r="E169" s="101">
        <v>0.7719</v>
      </c>
      <c r="F169" s="100">
        <v>0.8021</v>
      </c>
      <c r="G169" s="102">
        <v>0.7964</v>
      </c>
      <c r="H169" s="102">
        <v>0.7892</v>
      </c>
      <c r="I169" s="102">
        <v>0.8196</v>
      </c>
      <c r="J169" s="102">
        <v>0.8131</v>
      </c>
      <c r="K169" s="102">
        <v>0.8017</v>
      </c>
      <c r="L169" s="102">
        <v>0.8317</v>
      </c>
      <c r="M169" s="102">
        <v>0.8241</v>
      </c>
      <c r="N169" s="102">
        <v>0.8143</v>
      </c>
    </row>
    <row r="170" ht="15" spans="1:14">
      <c r="A170" s="98"/>
      <c r="B170" s="99">
        <v>8</v>
      </c>
      <c r="C170" s="100">
        <v>0.7866</v>
      </c>
      <c r="D170" s="101">
        <v>0.7834</v>
      </c>
      <c r="E170" s="101">
        <v>0.7797</v>
      </c>
      <c r="F170" s="100">
        <v>0.8123</v>
      </c>
      <c r="G170" s="102">
        <v>0.8052</v>
      </c>
      <c r="H170" s="102">
        <v>0.7954</v>
      </c>
      <c r="I170" s="102">
        <v>0.8274</v>
      </c>
      <c r="J170" s="102">
        <v>0.8192</v>
      </c>
      <c r="K170" s="102">
        <v>0.8077</v>
      </c>
      <c r="L170" s="102">
        <v>0.8383</v>
      </c>
      <c r="M170" s="102">
        <v>0.8285</v>
      </c>
      <c r="N170" s="102">
        <v>0.8215</v>
      </c>
    </row>
    <row r="171" ht="15" spans="1:14">
      <c r="A171" s="98"/>
      <c r="B171" s="99">
        <v>9</v>
      </c>
      <c r="C171" s="100">
        <v>0.7996</v>
      </c>
      <c r="D171" s="101">
        <v>0.792</v>
      </c>
      <c r="E171" s="101">
        <v>0.7873</v>
      </c>
      <c r="F171" s="100">
        <v>0.8208</v>
      </c>
      <c r="G171" s="102">
        <v>0.812</v>
      </c>
      <c r="H171" s="102">
        <v>0.8043</v>
      </c>
      <c r="I171" s="102">
        <v>0.8346</v>
      </c>
      <c r="J171" s="102">
        <v>0.8245</v>
      </c>
      <c r="K171" s="102">
        <v>0.8171</v>
      </c>
      <c r="L171" s="102">
        <v>0.8472</v>
      </c>
      <c r="M171" s="102">
        <v>0.8387</v>
      </c>
      <c r="N171" s="102">
        <v>0.8238</v>
      </c>
    </row>
    <row r="172" ht="15" spans="1:14">
      <c r="A172" s="98"/>
      <c r="B172" s="99">
        <v>10</v>
      </c>
      <c r="C172" s="100">
        <v>0.8085</v>
      </c>
      <c r="D172" s="101">
        <v>0.8015</v>
      </c>
      <c r="E172" s="101">
        <v>0.7937</v>
      </c>
      <c r="F172" s="100">
        <v>0.8274</v>
      </c>
      <c r="G172" s="102">
        <v>0.8206</v>
      </c>
      <c r="H172" s="102">
        <v>0.809</v>
      </c>
      <c r="I172" s="102">
        <v>0.8431</v>
      </c>
      <c r="J172" s="102">
        <v>0.8311</v>
      </c>
      <c r="K172" s="102">
        <v>0.8221</v>
      </c>
      <c r="L172" s="102">
        <v>0.8526</v>
      </c>
      <c r="M172" s="102">
        <v>0.8422</v>
      </c>
      <c r="N172" s="102">
        <v>0.8284</v>
      </c>
    </row>
    <row r="173" ht="15" spans="1:14">
      <c r="A173" s="98"/>
      <c r="B173" s="99">
        <v>11</v>
      </c>
      <c r="C173" s="100">
        <v>0.8151</v>
      </c>
      <c r="D173" s="101">
        <v>0.8076</v>
      </c>
      <c r="E173" s="101">
        <v>0.8002</v>
      </c>
      <c r="F173" s="100">
        <v>0.8352</v>
      </c>
      <c r="G173" s="102">
        <v>0.8249</v>
      </c>
      <c r="H173" s="102">
        <v>0.817</v>
      </c>
      <c r="I173" s="102">
        <v>0.8473</v>
      </c>
      <c r="J173" s="102">
        <v>0.8383</v>
      </c>
      <c r="K173" s="102">
        <v>0.825</v>
      </c>
      <c r="L173" s="102">
        <v>0.8585</v>
      </c>
      <c r="M173" s="102">
        <v>0.8438</v>
      </c>
      <c r="N173" s="102">
        <v>0.83</v>
      </c>
    </row>
    <row r="174" ht="15" spans="1:14">
      <c r="A174" s="98"/>
      <c r="B174" s="99">
        <v>12</v>
      </c>
      <c r="C174" s="100">
        <v>0.8229</v>
      </c>
      <c r="D174" s="101">
        <v>0.8127</v>
      </c>
      <c r="E174" s="101">
        <v>0.8041</v>
      </c>
      <c r="F174" s="100">
        <v>0.8394</v>
      </c>
      <c r="G174" s="102">
        <v>0.8279</v>
      </c>
      <c r="H174" s="102">
        <v>0.8196</v>
      </c>
      <c r="I174" s="102">
        <v>0.8513</v>
      </c>
      <c r="J174" s="102">
        <v>0.8407</v>
      </c>
      <c r="K174" s="102">
        <v>0.8264</v>
      </c>
      <c r="L174" s="102">
        <v>0.862</v>
      </c>
      <c r="M174" s="102">
        <v>0.8493</v>
      </c>
      <c r="N174" s="102">
        <v>0.8303</v>
      </c>
    </row>
    <row r="175" ht="15" spans="1:14">
      <c r="A175" s="98"/>
      <c r="B175" s="99">
        <v>13</v>
      </c>
      <c r="C175" s="100">
        <v>0.8272</v>
      </c>
      <c r="D175" s="101">
        <v>0.8165</v>
      </c>
      <c r="E175" s="101">
        <v>0.8146</v>
      </c>
      <c r="F175" s="100">
        <v>0.8435</v>
      </c>
      <c r="G175" s="102">
        <v>0.8343</v>
      </c>
      <c r="H175" s="102">
        <v>0.8231</v>
      </c>
      <c r="I175" s="102">
        <v>0.8574</v>
      </c>
      <c r="J175" s="102">
        <v>0.8456</v>
      </c>
      <c r="K175" s="102">
        <v>0.8314</v>
      </c>
      <c r="L175" s="102">
        <v>0.8651</v>
      </c>
      <c r="M175" s="102">
        <v>0.8502</v>
      </c>
      <c r="N175" s="102">
        <v>0.8336</v>
      </c>
    </row>
    <row r="176" ht="15" spans="1:14">
      <c r="A176" s="98"/>
      <c r="B176" s="99">
        <v>14</v>
      </c>
      <c r="C176" s="100">
        <v>0.8314</v>
      </c>
      <c r="D176" s="101">
        <v>0.8199</v>
      </c>
      <c r="E176" s="101">
        <v>0.8159</v>
      </c>
      <c r="F176" s="100">
        <v>0.8458</v>
      </c>
      <c r="G176" s="102">
        <v>0.8369</v>
      </c>
      <c r="H176" s="102">
        <v>0.8252</v>
      </c>
      <c r="I176" s="102">
        <v>0.8629</v>
      </c>
      <c r="J176" s="102">
        <v>0.8454</v>
      </c>
      <c r="K176" s="102">
        <v>0.832</v>
      </c>
      <c r="L176" s="102">
        <v>0.8659</v>
      </c>
      <c r="M176" s="102">
        <v>0.8538</v>
      </c>
      <c r="N176" s="102">
        <v>0.8321</v>
      </c>
    </row>
    <row r="177" ht="15" spans="1:14">
      <c r="A177" s="98"/>
      <c r="B177" s="99">
        <v>15</v>
      </c>
      <c r="C177" s="100">
        <v>0.8349</v>
      </c>
      <c r="D177" s="101">
        <v>0.8253</v>
      </c>
      <c r="E177" s="101">
        <v>0.8204</v>
      </c>
      <c r="F177" s="100">
        <v>0.8496</v>
      </c>
      <c r="G177" s="102">
        <v>0.8403</v>
      </c>
      <c r="H177" s="102">
        <v>0.8271</v>
      </c>
      <c r="I177" s="102">
        <v>0.8637</v>
      </c>
      <c r="J177" s="102">
        <v>0.8497</v>
      </c>
      <c r="K177" s="102">
        <v>0.8328</v>
      </c>
      <c r="L177" s="102">
        <v>0.8687</v>
      </c>
      <c r="M177" s="102">
        <v>0.8522</v>
      </c>
      <c r="N177" s="102">
        <v>0.8347</v>
      </c>
    </row>
    <row r="178" ht="15" spans="1:14">
      <c r="A178" s="98"/>
      <c r="B178" s="99">
        <v>16</v>
      </c>
      <c r="C178" s="100">
        <v>0.8381</v>
      </c>
      <c r="D178" s="101">
        <v>0.8273</v>
      </c>
      <c r="E178" s="101">
        <v>0.8233</v>
      </c>
      <c r="F178" s="100">
        <v>0.8518</v>
      </c>
      <c r="G178" s="102">
        <v>0.8427</v>
      </c>
      <c r="H178" s="102">
        <v>0.8287</v>
      </c>
      <c r="I178" s="102">
        <v>0.8649</v>
      </c>
      <c r="J178" s="102">
        <v>0.8508</v>
      </c>
      <c r="K178" s="102">
        <v>0.8324</v>
      </c>
      <c r="L178" s="102">
        <v>0.872</v>
      </c>
      <c r="M178" s="102">
        <v>0.851</v>
      </c>
      <c r="N178" s="102">
        <v>0.8295</v>
      </c>
    </row>
    <row r="179" ht="15" spans="1:14">
      <c r="A179" s="98"/>
      <c r="B179" s="99">
        <v>17</v>
      </c>
      <c r="C179" s="100">
        <v>0.8413</v>
      </c>
      <c r="D179" s="101">
        <v>0.832</v>
      </c>
      <c r="E179" s="101">
        <v>0.8274</v>
      </c>
      <c r="F179" s="100">
        <v>0.8608</v>
      </c>
      <c r="G179" s="102">
        <v>0.843</v>
      </c>
      <c r="H179" s="102">
        <v>0.8327</v>
      </c>
      <c r="I179" s="102">
        <v>0.8645</v>
      </c>
      <c r="J179" s="102">
        <v>0.8506</v>
      </c>
      <c r="K179" s="102">
        <v>0.8297</v>
      </c>
      <c r="L179" s="102">
        <v>0.8729</v>
      </c>
      <c r="M179" s="102">
        <v>0.8537</v>
      </c>
      <c r="N179" s="102">
        <v>0.8274</v>
      </c>
    </row>
    <row r="180" ht="15" spans="1:14">
      <c r="A180" s="98"/>
      <c r="B180" s="99">
        <v>18</v>
      </c>
      <c r="C180" s="100">
        <v>0.8501</v>
      </c>
      <c r="D180" s="101">
        <v>0.8389</v>
      </c>
      <c r="E180" s="101">
        <v>0.8281</v>
      </c>
      <c r="F180" s="100">
        <v>0.8654</v>
      </c>
      <c r="G180" s="102">
        <v>0.8506</v>
      </c>
      <c r="H180" s="102">
        <v>0.8372</v>
      </c>
      <c r="I180" s="102">
        <v>0.8696</v>
      </c>
      <c r="J180" s="102">
        <v>0.8542</v>
      </c>
      <c r="K180" s="102">
        <v>0.837</v>
      </c>
      <c r="L180" s="102">
        <v>0.8762</v>
      </c>
      <c r="M180" s="102">
        <v>0.8579</v>
      </c>
      <c r="N180" s="102">
        <v>0.8278</v>
      </c>
    </row>
    <row r="181" ht="15" spans="1:14">
      <c r="A181" s="98"/>
      <c r="B181" s="99">
        <v>19</v>
      </c>
      <c r="C181" s="100">
        <v>0.8531</v>
      </c>
      <c r="D181" s="101">
        <v>0.8415</v>
      </c>
      <c r="E181" s="101">
        <v>0.8288</v>
      </c>
      <c r="F181" s="100">
        <v>0.8663</v>
      </c>
      <c r="G181" s="102">
        <v>0.8521</v>
      </c>
      <c r="H181" s="102">
        <v>0.8372</v>
      </c>
      <c r="I181" s="102">
        <v>0.8748</v>
      </c>
      <c r="J181" s="102">
        <v>0.8584</v>
      </c>
      <c r="K181" s="102">
        <v>0.8361</v>
      </c>
      <c r="L181" s="102">
        <v>0.8804</v>
      </c>
      <c r="M181" s="102">
        <v>0.8556</v>
      </c>
      <c r="N181" s="102">
        <v>0.8309</v>
      </c>
    </row>
    <row r="182" ht="15" spans="1:14">
      <c r="A182" s="98"/>
      <c r="B182" s="99">
        <v>20</v>
      </c>
      <c r="C182" s="100">
        <v>0.8556</v>
      </c>
      <c r="D182" s="101">
        <v>0.8421</v>
      </c>
      <c r="E182" s="101">
        <v>0.8306</v>
      </c>
      <c r="F182" s="100">
        <v>0.8681</v>
      </c>
      <c r="G182" s="102">
        <v>0.8536</v>
      </c>
      <c r="H182" s="102">
        <v>0.8389</v>
      </c>
      <c r="I182" s="102">
        <v>0.8748</v>
      </c>
      <c r="J182" s="102">
        <v>0.8567</v>
      </c>
      <c r="K182" s="102">
        <v>0.8335</v>
      </c>
      <c r="L182" s="102">
        <v>0.8807</v>
      </c>
      <c r="M182" s="102">
        <v>0.8602</v>
      </c>
      <c r="N182" s="102">
        <v>0.8411</v>
      </c>
    </row>
    <row r="183" ht="15" spans="1:14">
      <c r="A183" s="98"/>
      <c r="B183" s="99">
        <v>21</v>
      </c>
      <c r="C183" s="100">
        <v>0.8574</v>
      </c>
      <c r="D183" s="101">
        <v>0.8476</v>
      </c>
      <c r="E183" s="101">
        <v>0.8328</v>
      </c>
      <c r="F183" s="100">
        <v>0.869</v>
      </c>
      <c r="G183" s="102">
        <v>0.855</v>
      </c>
      <c r="H183" s="102">
        <v>0.839</v>
      </c>
      <c r="I183" s="102">
        <v>0.8757</v>
      </c>
      <c r="J183" s="102">
        <v>0.8563</v>
      </c>
      <c r="K183" s="102">
        <v>0.8231</v>
      </c>
      <c r="L183" s="102">
        <v>0.88</v>
      </c>
      <c r="M183" s="102">
        <v>0.8539</v>
      </c>
      <c r="N183" s="102">
        <v>0.8409</v>
      </c>
    </row>
    <row r="184" ht="15" spans="1:14">
      <c r="A184" s="98"/>
      <c r="B184" s="99">
        <v>22</v>
      </c>
      <c r="C184" s="100">
        <v>0.863</v>
      </c>
      <c r="D184" s="101">
        <v>0.8494</v>
      </c>
      <c r="E184" s="101">
        <v>0.8333</v>
      </c>
      <c r="F184" s="100">
        <v>0.8695</v>
      </c>
      <c r="G184" s="102">
        <v>0.8551</v>
      </c>
      <c r="H184" s="102">
        <v>0.8378</v>
      </c>
      <c r="I184" s="102">
        <v>0.8745</v>
      </c>
      <c r="J184" s="102">
        <v>0.857</v>
      </c>
      <c r="K184" s="102">
        <v>0.824</v>
      </c>
      <c r="L184" s="102">
        <v>0.8797</v>
      </c>
      <c r="M184" s="102">
        <v>0.8462</v>
      </c>
      <c r="N184" s="102">
        <v>0.8295</v>
      </c>
    </row>
    <row r="185" ht="15" spans="1:14">
      <c r="A185" s="98"/>
      <c r="B185" s="99">
        <v>23</v>
      </c>
      <c r="C185" s="100">
        <v>0.8649</v>
      </c>
      <c r="D185" s="101">
        <v>0.8495</v>
      </c>
      <c r="E185" s="101">
        <v>0.8339</v>
      </c>
      <c r="F185" s="100">
        <v>0.8731</v>
      </c>
      <c r="G185" s="102">
        <v>0.8588</v>
      </c>
      <c r="H185" s="102">
        <v>0.8391</v>
      </c>
      <c r="I185" s="102">
        <v>0.8788</v>
      </c>
      <c r="J185" s="102">
        <v>0.8612</v>
      </c>
      <c r="K185" s="102">
        <v>0.8217</v>
      </c>
      <c r="L185" s="102">
        <v>0.8799</v>
      </c>
      <c r="M185" s="102">
        <v>0.8403</v>
      </c>
      <c r="N185" s="102">
        <v>0.8153</v>
      </c>
    </row>
    <row r="186" ht="15" spans="1:14">
      <c r="A186" s="98"/>
      <c r="B186" s="99">
        <v>24</v>
      </c>
      <c r="C186" s="100">
        <v>0.8652</v>
      </c>
      <c r="D186" s="101">
        <v>0.8509</v>
      </c>
      <c r="E186" s="101">
        <v>0.8345</v>
      </c>
      <c r="F186" s="100">
        <v>0.8746</v>
      </c>
      <c r="G186" s="102">
        <v>0.8574</v>
      </c>
      <c r="H186" s="102">
        <v>0.8297</v>
      </c>
      <c r="I186" s="102">
        <v>0.8788</v>
      </c>
      <c r="J186" s="102">
        <v>0.8537</v>
      </c>
      <c r="K186" s="102">
        <v>0.8233</v>
      </c>
      <c r="L186" s="102">
        <v>0.8808</v>
      </c>
      <c r="M186" s="102">
        <v>0.8364</v>
      </c>
      <c r="N186" s="102">
        <v>0.8112</v>
      </c>
    </row>
    <row r="187" ht="15" spans="1:14">
      <c r="A187" s="98"/>
      <c r="B187" s="99">
        <v>25</v>
      </c>
      <c r="C187" s="100">
        <v>0.8651</v>
      </c>
      <c r="D187" s="101">
        <v>0.851</v>
      </c>
      <c r="E187" s="101">
        <v>0.8359</v>
      </c>
      <c r="F187" s="100">
        <v>0.8746</v>
      </c>
      <c r="G187" s="102">
        <v>0.857</v>
      </c>
      <c r="H187" s="102">
        <v>0.8314</v>
      </c>
      <c r="I187" s="102">
        <v>0.8782</v>
      </c>
      <c r="J187" s="102">
        <v>0.8475</v>
      </c>
      <c r="K187" s="102">
        <v>0.8251</v>
      </c>
      <c r="L187" s="102">
        <v>0.8781</v>
      </c>
      <c r="M187" s="102">
        <v>0.8392</v>
      </c>
      <c r="N187" s="102">
        <v>0.806</v>
      </c>
    </row>
    <row r="190" ht="15" spans="1:14">
      <c r="A190" s="98">
        <v>0.25</v>
      </c>
      <c r="B190" s="99">
        <v>6</v>
      </c>
      <c r="C190" s="100">
        <v>0.7364</v>
      </c>
      <c r="D190" s="101">
        <v>0.7438</v>
      </c>
      <c r="E190" s="101">
        <v>0.7443</v>
      </c>
      <c r="F190" s="100">
        <v>0.7737</v>
      </c>
      <c r="G190" s="102">
        <v>0.7753</v>
      </c>
      <c r="H190" s="102">
        <v>0.7696</v>
      </c>
      <c r="I190" s="102">
        <v>0.7946</v>
      </c>
      <c r="J190" s="102">
        <v>0.7899</v>
      </c>
      <c r="K190" s="102">
        <v>0.7826</v>
      </c>
      <c r="L190" s="102">
        <v>0.8083</v>
      </c>
      <c r="M190" s="102">
        <v>0.8049</v>
      </c>
      <c r="N190" s="102">
        <v>0.7926</v>
      </c>
    </row>
    <row r="191" ht="15" spans="1:14">
      <c r="A191" s="98"/>
      <c r="B191" s="99">
        <v>7</v>
      </c>
      <c r="C191" s="100">
        <v>0.7577</v>
      </c>
      <c r="D191" s="101">
        <v>0.7626</v>
      </c>
      <c r="E191" s="101">
        <v>0.7604</v>
      </c>
      <c r="F191" s="100">
        <v>0.7904</v>
      </c>
      <c r="G191" s="102">
        <v>0.7891</v>
      </c>
      <c r="H191" s="102">
        <v>0.7811</v>
      </c>
      <c r="I191" s="102">
        <v>0.8077</v>
      </c>
      <c r="J191" s="102">
        <v>0.801</v>
      </c>
      <c r="K191" s="102">
        <v>0.7916</v>
      </c>
      <c r="L191" s="102">
        <v>0.8204</v>
      </c>
      <c r="M191" s="102">
        <v>0.8149</v>
      </c>
      <c r="N191" s="102">
        <v>0.8004</v>
      </c>
    </row>
    <row r="192" ht="15" spans="1:14">
      <c r="A192" s="98"/>
      <c r="B192" s="99">
        <v>8</v>
      </c>
      <c r="C192" s="100">
        <v>0.7719</v>
      </c>
      <c r="D192" s="101">
        <v>0.7743</v>
      </c>
      <c r="E192" s="101">
        <v>0.7711</v>
      </c>
      <c r="F192" s="100">
        <v>0.8033</v>
      </c>
      <c r="G192" s="102">
        <v>0.7988</v>
      </c>
      <c r="H192" s="102">
        <v>0.789</v>
      </c>
      <c r="I192" s="102">
        <v>0.8179</v>
      </c>
      <c r="J192" s="102">
        <v>0.8099</v>
      </c>
      <c r="K192" s="102">
        <v>0.798</v>
      </c>
      <c r="L192" s="102">
        <v>0.8283</v>
      </c>
      <c r="M192" s="102">
        <v>0.8215</v>
      </c>
      <c r="N192" s="102">
        <v>0.8063</v>
      </c>
    </row>
    <row r="193" ht="15" spans="1:14">
      <c r="A193" s="98"/>
      <c r="B193" s="99">
        <v>9</v>
      </c>
      <c r="C193" s="100">
        <v>0.7837</v>
      </c>
      <c r="D193" s="101">
        <v>0.784</v>
      </c>
      <c r="E193" s="101">
        <v>0.78</v>
      </c>
      <c r="F193" s="100">
        <v>0.8121</v>
      </c>
      <c r="G193" s="102">
        <v>0.8063</v>
      </c>
      <c r="H193" s="102">
        <v>0.7955</v>
      </c>
      <c r="I193" s="102">
        <v>0.8253</v>
      </c>
      <c r="J193" s="102">
        <v>0.8152</v>
      </c>
      <c r="K193" s="102">
        <v>0.8052</v>
      </c>
      <c r="L193" s="102">
        <v>0.8344</v>
      </c>
      <c r="M193" s="102">
        <v>0.8298</v>
      </c>
      <c r="N193" s="102">
        <v>0.8176</v>
      </c>
    </row>
    <row r="194" ht="15" spans="1:14">
      <c r="A194" s="98"/>
      <c r="B194" s="99">
        <v>10</v>
      </c>
      <c r="C194" s="100">
        <v>0.7957</v>
      </c>
      <c r="D194" s="101">
        <v>0.7924</v>
      </c>
      <c r="E194" s="101">
        <v>0.7864</v>
      </c>
      <c r="F194" s="100">
        <v>0.8202</v>
      </c>
      <c r="G194" s="102">
        <v>0.8133</v>
      </c>
      <c r="H194" s="102">
        <v>0.8003</v>
      </c>
      <c r="I194" s="102">
        <v>0.8337</v>
      </c>
      <c r="J194" s="102">
        <v>0.8227</v>
      </c>
      <c r="K194" s="102">
        <v>0.8147</v>
      </c>
      <c r="L194" s="102">
        <v>0.8432</v>
      </c>
      <c r="M194" s="102">
        <v>0.8332</v>
      </c>
      <c r="N194" s="102">
        <v>0.8194</v>
      </c>
    </row>
    <row r="195" ht="15" spans="1:14">
      <c r="A195" s="98"/>
      <c r="B195" s="99">
        <v>11</v>
      </c>
      <c r="C195" s="100">
        <v>0.806</v>
      </c>
      <c r="D195" s="101">
        <v>0.7997</v>
      </c>
      <c r="E195" s="101">
        <v>0.7957</v>
      </c>
      <c r="F195" s="100">
        <v>0.8279</v>
      </c>
      <c r="G195" s="102">
        <v>0.8194</v>
      </c>
      <c r="H195" s="102">
        <v>0.8054</v>
      </c>
      <c r="I195" s="102">
        <v>0.8395</v>
      </c>
      <c r="J195" s="102">
        <v>0.8266</v>
      </c>
      <c r="K195" s="102">
        <v>0.8182</v>
      </c>
      <c r="L195" s="102">
        <v>0.8475</v>
      </c>
      <c r="M195" s="102">
        <v>0.8393</v>
      </c>
      <c r="N195" s="102">
        <v>0.824</v>
      </c>
    </row>
    <row r="196" ht="15" spans="1:14">
      <c r="A196" s="98"/>
      <c r="B196" s="99">
        <v>12</v>
      </c>
      <c r="C196" s="100">
        <v>0.8154</v>
      </c>
      <c r="D196" s="101">
        <v>0.8073</v>
      </c>
      <c r="E196" s="101">
        <v>0.8006</v>
      </c>
      <c r="F196" s="100">
        <v>0.8334</v>
      </c>
      <c r="G196" s="102">
        <v>0.8262</v>
      </c>
      <c r="H196" s="102">
        <v>0.8113</v>
      </c>
      <c r="I196" s="102">
        <v>0.8442</v>
      </c>
      <c r="J196" s="102">
        <v>0.8301</v>
      </c>
      <c r="K196" s="102">
        <v>0.8229</v>
      </c>
      <c r="L196" s="102">
        <v>0.8519</v>
      </c>
      <c r="M196" s="102">
        <v>0.8411</v>
      </c>
      <c r="N196" s="102">
        <v>0.8266</v>
      </c>
    </row>
    <row r="197" ht="15" spans="1:14">
      <c r="A197" s="98"/>
      <c r="B197" s="99">
        <v>13</v>
      </c>
      <c r="C197" s="100">
        <v>0.821</v>
      </c>
      <c r="D197" s="101">
        <v>0.8119</v>
      </c>
      <c r="E197" s="101">
        <v>0.8039</v>
      </c>
      <c r="F197" s="100">
        <v>0.8366</v>
      </c>
      <c r="G197" s="102">
        <v>0.8298</v>
      </c>
      <c r="H197" s="102">
        <v>0.8186</v>
      </c>
      <c r="I197" s="102">
        <v>0.8477</v>
      </c>
      <c r="J197" s="102">
        <v>0.8398</v>
      </c>
      <c r="K197" s="102">
        <v>0.824</v>
      </c>
      <c r="L197" s="102">
        <v>0.8581</v>
      </c>
      <c r="M197" s="102">
        <v>0.8474</v>
      </c>
      <c r="N197" s="102">
        <v>0.8277</v>
      </c>
    </row>
    <row r="198" ht="15" spans="1:14">
      <c r="A198" s="98"/>
      <c r="B198" s="99">
        <v>14</v>
      </c>
      <c r="C198" s="100">
        <v>0.8252</v>
      </c>
      <c r="D198" s="101">
        <v>0.8163</v>
      </c>
      <c r="E198" s="101">
        <v>0.8069</v>
      </c>
      <c r="F198" s="100">
        <v>0.8442</v>
      </c>
      <c r="G198" s="102">
        <v>0.8327</v>
      </c>
      <c r="H198" s="102">
        <v>0.8237</v>
      </c>
      <c r="I198" s="102">
        <v>0.8511</v>
      </c>
      <c r="J198" s="102">
        <v>0.8411</v>
      </c>
      <c r="K198" s="102">
        <v>0.8253</v>
      </c>
      <c r="L198" s="102">
        <v>0.8628</v>
      </c>
      <c r="M198" s="102">
        <v>0.8487</v>
      </c>
      <c r="N198" s="102">
        <v>0.832</v>
      </c>
    </row>
    <row r="199" ht="15" spans="1:14">
      <c r="A199" s="98"/>
      <c r="B199" s="99">
        <v>15</v>
      </c>
      <c r="C199" s="100">
        <v>0.8294</v>
      </c>
      <c r="D199" s="101">
        <v>0.8203</v>
      </c>
      <c r="E199" s="101">
        <v>0.8101</v>
      </c>
      <c r="F199" s="100">
        <v>0.8465</v>
      </c>
      <c r="G199" s="102">
        <v>0.835</v>
      </c>
      <c r="H199" s="102">
        <v>0.8263</v>
      </c>
      <c r="I199" s="102">
        <v>0.856</v>
      </c>
      <c r="J199" s="102">
        <v>0.8435</v>
      </c>
      <c r="K199" s="102">
        <v>0.8299</v>
      </c>
      <c r="L199" s="102">
        <v>0.8638</v>
      </c>
      <c r="M199" s="102">
        <v>0.8508</v>
      </c>
      <c r="N199" s="102">
        <v>0.8329</v>
      </c>
    </row>
    <row r="200" ht="15" spans="1:14">
      <c r="A200" s="98"/>
      <c r="B200" s="99">
        <v>16</v>
      </c>
      <c r="C200" s="100">
        <v>0.8329</v>
      </c>
      <c r="D200" s="101">
        <v>0.8232</v>
      </c>
      <c r="E200" s="101">
        <v>0.8155</v>
      </c>
      <c r="F200" s="100">
        <v>0.8499</v>
      </c>
      <c r="G200" s="102">
        <v>0.8408</v>
      </c>
      <c r="H200" s="102">
        <v>0.8273</v>
      </c>
      <c r="I200" s="102">
        <v>0.8624</v>
      </c>
      <c r="J200" s="102">
        <v>0.8441</v>
      </c>
      <c r="K200" s="102">
        <v>0.8307</v>
      </c>
      <c r="L200" s="102">
        <v>0.8661</v>
      </c>
      <c r="M200" s="102">
        <v>0.8517</v>
      </c>
      <c r="N200" s="102">
        <v>0.8322</v>
      </c>
    </row>
    <row r="201" ht="15" spans="1:14">
      <c r="A201" s="98"/>
      <c r="B201" s="99">
        <v>17</v>
      </c>
      <c r="C201" s="100">
        <v>0.8357</v>
      </c>
      <c r="D201" s="101">
        <v>0.8296</v>
      </c>
      <c r="E201" s="101">
        <v>0.8214</v>
      </c>
      <c r="F201" s="100">
        <v>0.8525</v>
      </c>
      <c r="G201" s="102">
        <v>0.8459</v>
      </c>
      <c r="H201" s="102">
        <v>0.8284</v>
      </c>
      <c r="I201" s="102">
        <v>0.8632</v>
      </c>
      <c r="J201" s="102">
        <v>0.8487</v>
      </c>
      <c r="K201" s="102">
        <v>0.8313</v>
      </c>
      <c r="L201" s="102">
        <v>0.8699</v>
      </c>
      <c r="M201" s="102">
        <v>0.8513</v>
      </c>
      <c r="N201" s="102">
        <v>0.8322</v>
      </c>
    </row>
    <row r="202" ht="15" spans="1:14">
      <c r="A202" s="98"/>
      <c r="B202" s="99">
        <v>18</v>
      </c>
      <c r="C202" s="100">
        <v>0.8408</v>
      </c>
      <c r="D202" s="101">
        <v>0.8319</v>
      </c>
      <c r="E202" s="101">
        <v>0.8228</v>
      </c>
      <c r="F202" s="100">
        <v>0.8546</v>
      </c>
      <c r="G202" s="102">
        <v>0.8472</v>
      </c>
      <c r="H202" s="102">
        <v>0.8318</v>
      </c>
      <c r="I202" s="102">
        <v>0.8656</v>
      </c>
      <c r="J202" s="102">
        <v>0.8492</v>
      </c>
      <c r="K202" s="102">
        <v>0.8307</v>
      </c>
      <c r="L202" s="102">
        <v>0.8703</v>
      </c>
      <c r="M202" s="102">
        <v>0.855</v>
      </c>
      <c r="N202" s="102">
        <v>0.8334</v>
      </c>
    </row>
    <row r="203" ht="15" spans="1:14">
      <c r="A203" s="98"/>
      <c r="B203" s="99">
        <v>19</v>
      </c>
      <c r="C203" s="100">
        <v>0.8418</v>
      </c>
      <c r="D203" s="101">
        <v>0.8335</v>
      </c>
      <c r="E203" s="101">
        <v>0.8256</v>
      </c>
      <c r="F203" s="100">
        <v>0.8561</v>
      </c>
      <c r="G203" s="102">
        <v>0.8486</v>
      </c>
      <c r="H203" s="102">
        <v>0.8324</v>
      </c>
      <c r="I203" s="102">
        <v>0.866</v>
      </c>
      <c r="J203" s="102">
        <v>0.849</v>
      </c>
      <c r="K203" s="102">
        <v>0.8338</v>
      </c>
      <c r="L203" s="102">
        <v>0.8711</v>
      </c>
      <c r="M203" s="102">
        <v>0.8544</v>
      </c>
      <c r="N203" s="102">
        <v>0.8302</v>
      </c>
    </row>
    <row r="204" ht="15" spans="1:14">
      <c r="A204" s="98"/>
      <c r="B204" s="99">
        <v>20</v>
      </c>
      <c r="C204" s="100">
        <v>0.847</v>
      </c>
      <c r="D204" s="101">
        <v>0.8353</v>
      </c>
      <c r="E204" s="101">
        <v>0.8266</v>
      </c>
      <c r="F204" s="100">
        <v>0.8651</v>
      </c>
      <c r="G204" s="102">
        <v>0.8496</v>
      </c>
      <c r="H204" s="102">
        <v>0.8318</v>
      </c>
      <c r="I204" s="102">
        <v>0.8698</v>
      </c>
      <c r="J204" s="102">
        <v>0.8496</v>
      </c>
      <c r="K204" s="102">
        <v>0.8326</v>
      </c>
      <c r="L204" s="102">
        <v>0.8715</v>
      </c>
      <c r="M204" s="102">
        <v>0.8512</v>
      </c>
      <c r="N204" s="102">
        <v>0.8267</v>
      </c>
    </row>
    <row r="205" ht="15" spans="1:14">
      <c r="A205" s="98"/>
      <c r="B205" s="99">
        <v>21</v>
      </c>
      <c r="C205" s="100">
        <v>0.8536</v>
      </c>
      <c r="D205" s="101">
        <v>0.844</v>
      </c>
      <c r="E205" s="101">
        <v>0.8339</v>
      </c>
      <c r="F205" s="100">
        <v>0.8689</v>
      </c>
      <c r="G205" s="102">
        <v>0.8536</v>
      </c>
      <c r="H205" s="102">
        <v>0.836</v>
      </c>
      <c r="I205" s="102">
        <v>0.875</v>
      </c>
      <c r="J205" s="102">
        <v>0.8561</v>
      </c>
      <c r="K205" s="102">
        <v>0.8364</v>
      </c>
      <c r="L205" s="102">
        <v>0.8757</v>
      </c>
      <c r="M205" s="102">
        <v>0.8594</v>
      </c>
      <c r="N205" s="102">
        <v>0.8291</v>
      </c>
    </row>
    <row r="206" ht="15" spans="1:14">
      <c r="A206" s="98"/>
      <c r="B206" s="99">
        <v>22</v>
      </c>
      <c r="C206" s="100">
        <v>0.8557</v>
      </c>
      <c r="D206" s="101">
        <v>0.8462</v>
      </c>
      <c r="E206" s="101">
        <v>0.8347</v>
      </c>
      <c r="F206" s="100">
        <v>0.8709</v>
      </c>
      <c r="G206" s="102">
        <v>0.8574</v>
      </c>
      <c r="H206" s="102">
        <v>0.8411</v>
      </c>
      <c r="I206" s="102">
        <v>0.8747</v>
      </c>
      <c r="J206" s="102">
        <v>0.8573</v>
      </c>
      <c r="K206" s="102">
        <v>0.836</v>
      </c>
      <c r="L206" s="102">
        <v>0.8799</v>
      </c>
      <c r="M206" s="102">
        <v>0.8591</v>
      </c>
      <c r="N206" s="102">
        <v>0.8271</v>
      </c>
    </row>
    <row r="207" ht="15" spans="1:14">
      <c r="A207" s="98"/>
      <c r="B207" s="99">
        <v>23</v>
      </c>
      <c r="C207" s="100">
        <v>0.858</v>
      </c>
      <c r="D207" s="101">
        <v>0.8501</v>
      </c>
      <c r="E207" s="101">
        <v>0.8369</v>
      </c>
      <c r="F207" s="100">
        <v>0.8728</v>
      </c>
      <c r="G207" s="102">
        <v>0.8595</v>
      </c>
      <c r="H207" s="102">
        <v>0.8403</v>
      </c>
      <c r="I207" s="102">
        <v>0.8764</v>
      </c>
      <c r="J207" s="102">
        <v>0.8576</v>
      </c>
      <c r="K207" s="102">
        <v>0.8387</v>
      </c>
      <c r="L207" s="102">
        <v>0.8797</v>
      </c>
      <c r="M207" s="102">
        <v>0.8606</v>
      </c>
      <c r="N207" s="102">
        <v>0.8375</v>
      </c>
    </row>
    <row r="208" ht="15" spans="1:14">
      <c r="A208" s="98"/>
      <c r="B208" s="99">
        <v>24</v>
      </c>
      <c r="C208" s="100">
        <v>0.8604</v>
      </c>
      <c r="D208" s="101">
        <v>0.8505</v>
      </c>
      <c r="E208" s="101">
        <v>0.8373</v>
      </c>
      <c r="F208" s="100">
        <v>0.8729</v>
      </c>
      <c r="G208" s="102">
        <v>0.8587</v>
      </c>
      <c r="H208" s="102">
        <v>0.8402</v>
      </c>
      <c r="I208" s="102">
        <v>0.8801</v>
      </c>
      <c r="J208" s="102">
        <v>0.8552</v>
      </c>
      <c r="K208" s="102">
        <v>0.8337</v>
      </c>
      <c r="L208" s="102">
        <v>0.8799</v>
      </c>
      <c r="M208" s="102">
        <v>0.8605</v>
      </c>
      <c r="N208" s="102">
        <v>0.837</v>
      </c>
    </row>
    <row r="209" ht="15" spans="1:14">
      <c r="A209" s="98"/>
      <c r="B209" s="99">
        <v>25</v>
      </c>
      <c r="C209" s="100">
        <v>0.8621</v>
      </c>
      <c r="D209" s="101">
        <v>0.8521</v>
      </c>
      <c r="E209" s="101">
        <v>0.8391</v>
      </c>
      <c r="F209" s="100">
        <v>0.8781</v>
      </c>
      <c r="G209" s="102">
        <v>0.8593</v>
      </c>
      <c r="H209" s="102">
        <v>0.8404</v>
      </c>
      <c r="I209" s="102">
        <v>0.8798</v>
      </c>
      <c r="J209" s="102">
        <v>0.8578</v>
      </c>
      <c r="K209" s="102">
        <v>0.8251</v>
      </c>
      <c r="L209" s="102">
        <v>0.8787</v>
      </c>
      <c r="M209" s="102">
        <v>0.8586</v>
      </c>
      <c r="N209" s="102">
        <v>0.8378</v>
      </c>
    </row>
    <row r="212" ht="15" spans="1:14">
      <c r="A212" s="98">
        <v>0.2</v>
      </c>
      <c r="B212" s="99">
        <v>6</v>
      </c>
      <c r="C212" s="100">
        <v>0.6979</v>
      </c>
      <c r="D212" s="101">
        <v>0.7096</v>
      </c>
      <c r="E212" s="101">
        <v>0.7158</v>
      </c>
      <c r="F212" s="100">
        <v>0.7398</v>
      </c>
      <c r="G212" s="102">
        <v>0.7471</v>
      </c>
      <c r="H212" s="102">
        <v>0.7465</v>
      </c>
      <c r="I212" s="102">
        <v>0.7663</v>
      </c>
      <c r="J212" s="102">
        <v>0.7697</v>
      </c>
      <c r="K212" s="102">
        <v>0.7646</v>
      </c>
      <c r="L212" s="102">
        <v>0.7856</v>
      </c>
      <c r="M212" s="102">
        <v>0.7859</v>
      </c>
      <c r="N212" s="102">
        <v>0.7786</v>
      </c>
    </row>
    <row r="213" ht="15" spans="1:14">
      <c r="A213" s="98"/>
      <c r="B213" s="99">
        <v>7</v>
      </c>
      <c r="C213" s="100">
        <v>0.7204</v>
      </c>
      <c r="D213" s="101">
        <v>0.7302</v>
      </c>
      <c r="E213" s="101">
        <v>0.7321</v>
      </c>
      <c r="F213" s="100">
        <v>0.7587</v>
      </c>
      <c r="G213" s="102">
        <v>0.7612</v>
      </c>
      <c r="H213" s="102">
        <v>0.7585</v>
      </c>
      <c r="I213" s="102">
        <v>0.7813</v>
      </c>
      <c r="J213" s="102">
        <v>0.7811</v>
      </c>
      <c r="K213" s="102">
        <v>0.7743</v>
      </c>
      <c r="L213" s="102">
        <v>0.7986</v>
      </c>
      <c r="M213" s="102">
        <v>0.7975</v>
      </c>
      <c r="N213" s="102">
        <v>0.7888</v>
      </c>
    </row>
    <row r="214" ht="15" spans="1:14">
      <c r="A214" s="98"/>
      <c r="B214" s="99">
        <v>8</v>
      </c>
      <c r="C214" s="100">
        <v>0.7372</v>
      </c>
      <c r="D214" s="101">
        <v>0.7452</v>
      </c>
      <c r="E214" s="101">
        <v>0.745</v>
      </c>
      <c r="F214" s="100">
        <v>0.7715</v>
      </c>
      <c r="G214" s="102">
        <v>0.7709</v>
      </c>
      <c r="H214" s="102">
        <v>0.7681</v>
      </c>
      <c r="I214" s="102">
        <v>0.792</v>
      </c>
      <c r="J214" s="102">
        <v>0.7901</v>
      </c>
      <c r="K214" s="102">
        <v>0.7822</v>
      </c>
      <c r="L214" s="102">
        <v>0.8076</v>
      </c>
      <c r="M214" s="102">
        <v>0.8055</v>
      </c>
      <c r="N214" s="102">
        <v>0.7949</v>
      </c>
    </row>
    <row r="215" ht="15" spans="1:14">
      <c r="A215" s="98"/>
      <c r="B215" s="99">
        <v>9</v>
      </c>
      <c r="C215" s="100">
        <v>0.7493</v>
      </c>
      <c r="D215" s="101">
        <v>0.7524</v>
      </c>
      <c r="E215" s="101">
        <v>0.7526</v>
      </c>
      <c r="F215" s="100">
        <v>0.7814</v>
      </c>
      <c r="G215" s="102">
        <v>0.7778</v>
      </c>
      <c r="H215" s="102">
        <v>0.7734</v>
      </c>
      <c r="I215" s="102">
        <v>0.8004</v>
      </c>
      <c r="J215" s="102">
        <v>0.797</v>
      </c>
      <c r="K215" s="102">
        <v>0.7866</v>
      </c>
      <c r="L215" s="102">
        <v>0.8142</v>
      </c>
      <c r="M215" s="102">
        <v>0.8089</v>
      </c>
      <c r="N215" s="102">
        <v>0.8004</v>
      </c>
    </row>
    <row r="216" ht="15" spans="1:14">
      <c r="A216" s="98"/>
      <c r="B216" s="99">
        <v>10</v>
      </c>
      <c r="C216" s="100">
        <v>0.7605</v>
      </c>
      <c r="D216" s="101">
        <v>0.763</v>
      </c>
      <c r="E216" s="101">
        <v>0.7603</v>
      </c>
      <c r="F216" s="100">
        <v>0.7901</v>
      </c>
      <c r="G216" s="102">
        <v>0.786</v>
      </c>
      <c r="H216" s="102">
        <v>0.7795</v>
      </c>
      <c r="I216" s="102">
        <v>0.8072</v>
      </c>
      <c r="J216" s="102">
        <v>0.8021</v>
      </c>
      <c r="K216" s="102">
        <v>0.7937</v>
      </c>
      <c r="L216" s="102">
        <v>0.8223</v>
      </c>
      <c r="M216" s="102">
        <v>0.8166</v>
      </c>
      <c r="N216" s="102">
        <v>0.8041</v>
      </c>
    </row>
    <row r="217" ht="15" spans="1:14">
      <c r="A217" s="98"/>
      <c r="B217" s="99">
        <v>11</v>
      </c>
      <c r="C217" s="100">
        <v>0.7797</v>
      </c>
      <c r="D217" s="101">
        <v>0.7772</v>
      </c>
      <c r="E217" s="101">
        <v>0.7745</v>
      </c>
      <c r="F217" s="100">
        <v>0.8058</v>
      </c>
      <c r="G217" s="102">
        <v>0.8036</v>
      </c>
      <c r="H217" s="102">
        <v>0.7956</v>
      </c>
      <c r="I217" s="102">
        <v>0.8248</v>
      </c>
      <c r="J217" s="102">
        <v>0.8187</v>
      </c>
      <c r="K217" s="102">
        <v>0.805</v>
      </c>
      <c r="L217" s="102">
        <v>0.8357</v>
      </c>
      <c r="M217" s="102">
        <v>0.8261</v>
      </c>
      <c r="N217" s="102">
        <v>0.8162</v>
      </c>
    </row>
    <row r="218" ht="15" spans="1:14">
      <c r="A218" s="98"/>
      <c r="B218" s="99">
        <v>12</v>
      </c>
      <c r="C218" s="100">
        <v>0.7837</v>
      </c>
      <c r="D218" s="101">
        <v>0.7815</v>
      </c>
      <c r="E218" s="101">
        <v>0.7813</v>
      </c>
      <c r="F218" s="100">
        <v>0.8083</v>
      </c>
      <c r="G218" s="102">
        <v>0.8039</v>
      </c>
      <c r="H218" s="102">
        <v>0.7975</v>
      </c>
      <c r="I218" s="102">
        <v>0.8266</v>
      </c>
      <c r="J218" s="102">
        <v>0.8188</v>
      </c>
      <c r="K218" s="102">
        <v>0.8052</v>
      </c>
      <c r="L218" s="102">
        <v>0.8366</v>
      </c>
      <c r="M218" s="102">
        <v>0.8279</v>
      </c>
      <c r="N218" s="102">
        <v>0.8173</v>
      </c>
    </row>
    <row r="219" ht="15" spans="1:14">
      <c r="A219" s="98"/>
      <c r="B219" s="99">
        <v>13</v>
      </c>
      <c r="C219" s="100">
        <v>0.7912</v>
      </c>
      <c r="D219" s="101">
        <v>0.7866</v>
      </c>
      <c r="E219" s="101">
        <v>0.7835</v>
      </c>
      <c r="F219" s="100">
        <v>0.8175</v>
      </c>
      <c r="G219" s="102">
        <v>0.8098</v>
      </c>
      <c r="H219" s="102">
        <v>0.8005</v>
      </c>
      <c r="I219" s="102">
        <v>0.8302</v>
      </c>
      <c r="J219" s="102">
        <v>0.8217</v>
      </c>
      <c r="K219" s="102">
        <v>0.8149</v>
      </c>
      <c r="L219" s="102">
        <v>0.8396</v>
      </c>
      <c r="M219" s="102">
        <v>0.8328</v>
      </c>
      <c r="N219" s="102">
        <v>0.8209</v>
      </c>
    </row>
    <row r="220" ht="15" spans="1:14">
      <c r="A220" s="98"/>
      <c r="B220" s="99">
        <v>14</v>
      </c>
      <c r="C220" s="100">
        <v>0.7962</v>
      </c>
      <c r="D220" s="101">
        <v>0.7948</v>
      </c>
      <c r="E220" s="101">
        <v>0.7875</v>
      </c>
      <c r="F220" s="100">
        <v>0.8195</v>
      </c>
      <c r="G220" s="102">
        <v>0.8092</v>
      </c>
      <c r="H220" s="102">
        <v>0.8031</v>
      </c>
      <c r="I220" s="102">
        <v>0.8302</v>
      </c>
      <c r="J220" s="102">
        <v>0.8205</v>
      </c>
      <c r="K220" s="102">
        <v>0.8139</v>
      </c>
      <c r="L220" s="102">
        <v>0.8419</v>
      </c>
      <c r="M220" s="102">
        <v>0.8353</v>
      </c>
      <c r="N220" s="102">
        <v>0.8216</v>
      </c>
    </row>
    <row r="221" ht="15" spans="1:14">
      <c r="A221" s="98"/>
      <c r="B221" s="99">
        <v>15</v>
      </c>
      <c r="C221" s="100">
        <v>0.8011</v>
      </c>
      <c r="D221" s="101">
        <v>0.7975</v>
      </c>
      <c r="E221" s="101">
        <v>0.7906</v>
      </c>
      <c r="F221" s="100">
        <v>0.8246</v>
      </c>
      <c r="G221" s="102">
        <v>0.8144</v>
      </c>
      <c r="H221" s="102">
        <v>0.8058</v>
      </c>
      <c r="I221" s="102">
        <v>0.8401</v>
      </c>
      <c r="J221" s="102">
        <v>0.8262</v>
      </c>
      <c r="K221" s="102">
        <v>0.8157</v>
      </c>
      <c r="L221" s="102">
        <v>0.8461</v>
      </c>
      <c r="M221" s="102">
        <v>0.8382</v>
      </c>
      <c r="N221" s="102">
        <v>0.8222</v>
      </c>
    </row>
    <row r="222" ht="15" spans="1:14">
      <c r="A222" s="98"/>
      <c r="B222" s="99">
        <v>16</v>
      </c>
      <c r="C222" s="100">
        <v>0.8064</v>
      </c>
      <c r="D222" s="101">
        <v>0.8003</v>
      </c>
      <c r="E222" s="101">
        <v>0.7938</v>
      </c>
      <c r="F222" s="100">
        <v>0.8267</v>
      </c>
      <c r="G222" s="102">
        <v>0.8179</v>
      </c>
      <c r="H222" s="102">
        <v>0.8114</v>
      </c>
      <c r="I222" s="102">
        <v>0.8415</v>
      </c>
      <c r="J222" s="102">
        <v>0.8357</v>
      </c>
      <c r="K222" s="102">
        <v>0.8177</v>
      </c>
      <c r="L222" s="102">
        <v>0.8516</v>
      </c>
      <c r="M222" s="102">
        <v>0.8387</v>
      </c>
      <c r="N222" s="102">
        <v>0.8246</v>
      </c>
    </row>
    <row r="223" ht="15" spans="1:14">
      <c r="A223" s="98"/>
      <c r="B223" s="99">
        <v>17</v>
      </c>
      <c r="C223" s="100">
        <v>0.8152</v>
      </c>
      <c r="D223" s="101">
        <v>0.8072</v>
      </c>
      <c r="E223" s="101">
        <v>0.8016</v>
      </c>
      <c r="F223" s="100">
        <v>0.8331</v>
      </c>
      <c r="G223" s="102">
        <v>0.8228</v>
      </c>
      <c r="H223" s="102">
        <v>0.8145</v>
      </c>
      <c r="I223" s="102">
        <v>0.8449</v>
      </c>
      <c r="J223" s="102">
        <v>0.8378</v>
      </c>
      <c r="K223" s="102">
        <v>0.8235</v>
      </c>
      <c r="L223" s="102">
        <v>0.8552</v>
      </c>
      <c r="M223" s="102">
        <v>0.8452</v>
      </c>
      <c r="N223" s="102">
        <v>0.8289</v>
      </c>
    </row>
    <row r="224" ht="15" spans="1:14">
      <c r="A224" s="98"/>
      <c r="B224" s="99">
        <v>18</v>
      </c>
      <c r="C224" s="100">
        <v>0.8167</v>
      </c>
      <c r="D224" s="101">
        <v>0.8099</v>
      </c>
      <c r="E224" s="101">
        <v>0.8021</v>
      </c>
      <c r="F224" s="100">
        <v>0.8332</v>
      </c>
      <c r="G224" s="102">
        <v>0.821</v>
      </c>
      <c r="H224" s="102">
        <v>0.8141</v>
      </c>
      <c r="I224" s="102">
        <v>0.8431</v>
      </c>
      <c r="J224" s="102">
        <v>0.8345</v>
      </c>
      <c r="K224" s="102">
        <v>0.8194</v>
      </c>
      <c r="L224" s="102">
        <v>0.8539</v>
      </c>
      <c r="M224" s="102">
        <v>0.8425</v>
      </c>
      <c r="N224" s="102">
        <v>0.8267</v>
      </c>
    </row>
    <row r="225" ht="15" spans="1:14">
      <c r="A225" s="98"/>
      <c r="B225" s="99">
        <v>19</v>
      </c>
      <c r="C225" s="100">
        <v>0.8175</v>
      </c>
      <c r="D225" s="101">
        <v>0.8073</v>
      </c>
      <c r="E225" s="101">
        <v>0.8037</v>
      </c>
      <c r="F225" s="100">
        <v>0.8344</v>
      </c>
      <c r="G225" s="102">
        <v>0.826</v>
      </c>
      <c r="H225" s="102">
        <v>0.8166</v>
      </c>
      <c r="I225" s="102">
        <v>0.8462</v>
      </c>
      <c r="J225" s="102">
        <v>0.8396</v>
      </c>
      <c r="K225" s="102">
        <v>0.8209</v>
      </c>
      <c r="L225" s="102">
        <v>0.859</v>
      </c>
      <c r="M225" s="102">
        <v>0.8419</v>
      </c>
      <c r="N225" s="102">
        <v>0.8284</v>
      </c>
    </row>
    <row r="226" ht="15" spans="1:14">
      <c r="A226" s="98"/>
      <c r="B226" s="99">
        <v>20</v>
      </c>
      <c r="C226" s="100">
        <v>0.8238</v>
      </c>
      <c r="D226" s="101">
        <v>0.8148</v>
      </c>
      <c r="E226" s="101">
        <v>0.806</v>
      </c>
      <c r="F226" s="100">
        <v>0.8411</v>
      </c>
      <c r="G226" s="102">
        <v>0.8303</v>
      </c>
      <c r="H226" s="102">
        <v>0.8192</v>
      </c>
      <c r="I226" s="102">
        <v>0.8527</v>
      </c>
      <c r="J226" s="102">
        <v>0.8415</v>
      </c>
      <c r="K226" s="102">
        <v>0.8246</v>
      </c>
      <c r="L226" s="102">
        <v>0.8599</v>
      </c>
      <c r="M226" s="102">
        <v>0.8458</v>
      </c>
      <c r="N226" s="102">
        <v>0.8301</v>
      </c>
    </row>
    <row r="227" ht="15" spans="1:14">
      <c r="A227" s="98"/>
      <c r="B227" s="99">
        <v>21</v>
      </c>
      <c r="C227" s="100">
        <v>0.8325</v>
      </c>
      <c r="D227" s="101">
        <v>0.8222</v>
      </c>
      <c r="E227" s="101">
        <v>0.8203</v>
      </c>
      <c r="F227" s="100">
        <v>0.8478</v>
      </c>
      <c r="G227" s="102">
        <v>0.8394</v>
      </c>
      <c r="H227" s="102">
        <v>0.8284</v>
      </c>
      <c r="I227" s="102">
        <v>0.8595</v>
      </c>
      <c r="J227" s="102">
        <v>0.8487</v>
      </c>
      <c r="K227" s="102">
        <v>0.8339</v>
      </c>
      <c r="L227" s="102">
        <v>0.8678</v>
      </c>
      <c r="M227" s="102">
        <v>0.8547</v>
      </c>
      <c r="N227" s="102">
        <v>0.8379</v>
      </c>
    </row>
    <row r="228" ht="15" spans="1:14">
      <c r="A228" s="98"/>
      <c r="B228" s="99">
        <v>22</v>
      </c>
      <c r="C228" s="100">
        <v>0.8411</v>
      </c>
      <c r="D228" s="101">
        <v>0.8306</v>
      </c>
      <c r="E228" s="101">
        <v>0.8222</v>
      </c>
      <c r="F228" s="100">
        <v>0.8557</v>
      </c>
      <c r="G228" s="102">
        <v>0.8475</v>
      </c>
      <c r="H228" s="102">
        <v>0.8315</v>
      </c>
      <c r="I228" s="102">
        <v>0.87</v>
      </c>
      <c r="J228" s="102">
        <v>0.8546</v>
      </c>
      <c r="K228" s="102">
        <v>0.8345</v>
      </c>
      <c r="L228" s="102">
        <v>0.8723</v>
      </c>
      <c r="M228" s="102">
        <v>0.856</v>
      </c>
      <c r="N228" s="102">
        <v>0.8359</v>
      </c>
    </row>
    <row r="229" ht="15" spans="1:14">
      <c r="A229" s="98"/>
      <c r="B229" s="99">
        <v>23</v>
      </c>
      <c r="C229" s="100">
        <v>0.8412</v>
      </c>
      <c r="D229" s="101">
        <v>0.8293</v>
      </c>
      <c r="E229" s="101">
        <v>0.8276</v>
      </c>
      <c r="F229" s="100">
        <v>0.8547</v>
      </c>
      <c r="G229" s="102">
        <v>0.8418</v>
      </c>
      <c r="H229" s="102">
        <v>0.8319</v>
      </c>
      <c r="I229" s="102">
        <v>0.8663</v>
      </c>
      <c r="J229" s="102">
        <v>0.8498</v>
      </c>
      <c r="K229" s="102">
        <v>0.8347</v>
      </c>
      <c r="L229" s="102">
        <v>0.8719</v>
      </c>
      <c r="M229" s="102">
        <v>0.8559</v>
      </c>
      <c r="N229" s="102">
        <v>0.8303</v>
      </c>
    </row>
    <row r="230" ht="15" spans="1:14">
      <c r="A230" s="98"/>
      <c r="B230" s="99">
        <v>24</v>
      </c>
      <c r="C230" s="100">
        <v>0.8381</v>
      </c>
      <c r="D230" s="101">
        <v>0.8269</v>
      </c>
      <c r="E230" s="101">
        <v>0.8234</v>
      </c>
      <c r="F230" s="100">
        <v>0.8565</v>
      </c>
      <c r="G230" s="102">
        <v>0.8449</v>
      </c>
      <c r="H230" s="102">
        <v>0.831</v>
      </c>
      <c r="I230" s="102">
        <v>0.8655</v>
      </c>
      <c r="J230" s="102">
        <v>0.8526</v>
      </c>
      <c r="K230" s="102">
        <v>0.832</v>
      </c>
      <c r="L230" s="102">
        <v>0.8723</v>
      </c>
      <c r="M230" s="102">
        <v>0.8517</v>
      </c>
      <c r="N230" s="102">
        <v>0.8299</v>
      </c>
    </row>
    <row r="231" ht="15" spans="1:14">
      <c r="A231" s="98"/>
      <c r="B231" s="99">
        <v>25</v>
      </c>
      <c r="C231" s="100">
        <v>0.8452</v>
      </c>
      <c r="D231" s="101">
        <v>0.838</v>
      </c>
      <c r="E231" s="101">
        <v>0.8299</v>
      </c>
      <c r="F231" s="100">
        <v>0.8628</v>
      </c>
      <c r="G231" s="102">
        <v>0.8485</v>
      </c>
      <c r="H231" s="102">
        <v>0.8318</v>
      </c>
      <c r="I231" s="102">
        <v>0.8723</v>
      </c>
      <c r="J231" s="102">
        <v>0.8539</v>
      </c>
      <c r="K231" s="102">
        <v>0.8313</v>
      </c>
      <c r="L231" s="102">
        <v>0.8742</v>
      </c>
      <c r="M231" s="102">
        <v>0.8539</v>
      </c>
      <c r="N231" s="102">
        <v>0.829</v>
      </c>
    </row>
    <row r="234" ht="15" spans="1:14">
      <c r="A234" s="98">
        <v>0.15</v>
      </c>
      <c r="B234" s="99">
        <v>6</v>
      </c>
      <c r="C234" s="100">
        <v>0.6471</v>
      </c>
      <c r="D234" s="101">
        <v>0.6654</v>
      </c>
      <c r="E234" s="101">
        <v>0.6795</v>
      </c>
      <c r="F234" s="100">
        <v>0.6951</v>
      </c>
      <c r="G234" s="102">
        <v>0.7088</v>
      </c>
      <c r="H234" s="102">
        <v>0.7159</v>
      </c>
      <c r="I234" s="102">
        <v>0.728</v>
      </c>
      <c r="J234" s="102">
        <v>0.7363</v>
      </c>
      <c r="K234" s="102">
        <v>0.7362</v>
      </c>
      <c r="L234" s="102">
        <v>0.7506</v>
      </c>
      <c r="M234" s="102">
        <v>0.7557</v>
      </c>
      <c r="N234" s="102">
        <v>0.7542</v>
      </c>
    </row>
    <row r="235" ht="15" spans="1:14">
      <c r="A235" s="98"/>
      <c r="B235" s="99">
        <v>7</v>
      </c>
      <c r="C235" s="100">
        <v>0.6718</v>
      </c>
      <c r="D235" s="101">
        <v>0.6886</v>
      </c>
      <c r="E235" s="101">
        <v>0.6972</v>
      </c>
      <c r="F235" s="100">
        <v>0.7162</v>
      </c>
      <c r="G235" s="102">
        <v>0.7259</v>
      </c>
      <c r="H235" s="102">
        <v>0.7291</v>
      </c>
      <c r="I235" s="102">
        <v>0.7465</v>
      </c>
      <c r="J235" s="102">
        <v>0.7507</v>
      </c>
      <c r="K235" s="102">
        <v>0.7488</v>
      </c>
      <c r="L235" s="102">
        <v>0.7681</v>
      </c>
      <c r="M235" s="102">
        <v>0.7703</v>
      </c>
      <c r="N235" s="102">
        <v>0.7649</v>
      </c>
    </row>
    <row r="236" ht="15" spans="1:14">
      <c r="A236" s="98"/>
      <c r="B236" s="99">
        <v>8</v>
      </c>
      <c r="C236" s="100">
        <v>0.6922</v>
      </c>
      <c r="D236" s="101">
        <v>0.7076</v>
      </c>
      <c r="E236" s="101">
        <v>0.714</v>
      </c>
      <c r="F236" s="100">
        <v>0.733</v>
      </c>
      <c r="G236" s="102">
        <v>0.7403</v>
      </c>
      <c r="H236" s="102">
        <v>0.7424</v>
      </c>
      <c r="I236" s="102">
        <v>0.7613</v>
      </c>
      <c r="J236" s="102">
        <v>0.7638</v>
      </c>
      <c r="K236" s="102">
        <v>0.7604</v>
      </c>
      <c r="L236" s="102">
        <v>0.78</v>
      </c>
      <c r="M236" s="102">
        <v>0.7807</v>
      </c>
      <c r="N236" s="102">
        <v>0.7739</v>
      </c>
    </row>
    <row r="237" ht="15" spans="1:14">
      <c r="A237" s="98"/>
      <c r="B237" s="99">
        <v>9</v>
      </c>
      <c r="C237" s="100">
        <v>0.7065</v>
      </c>
      <c r="D237" s="101">
        <v>0.7194</v>
      </c>
      <c r="E237" s="101">
        <v>0.7235</v>
      </c>
      <c r="F237" s="100">
        <v>0.7445</v>
      </c>
      <c r="G237" s="102">
        <v>0.7477</v>
      </c>
      <c r="H237" s="102">
        <v>0.749</v>
      </c>
      <c r="I237" s="102">
        <v>0.7688</v>
      </c>
      <c r="J237" s="102">
        <v>0.771</v>
      </c>
      <c r="K237" s="102">
        <v>0.766</v>
      </c>
      <c r="L237" s="102">
        <v>0.7878</v>
      </c>
      <c r="M237" s="102">
        <v>0.784</v>
      </c>
      <c r="N237" s="102">
        <v>0.7775</v>
      </c>
    </row>
    <row r="238" ht="15" spans="1:14">
      <c r="A238" s="98"/>
      <c r="B238" s="99">
        <v>10</v>
      </c>
      <c r="C238" s="100">
        <v>0.7209</v>
      </c>
      <c r="D238" s="101">
        <v>0.7293</v>
      </c>
      <c r="E238" s="101">
        <v>0.7324</v>
      </c>
      <c r="F238" s="100">
        <v>0.756</v>
      </c>
      <c r="G238" s="102">
        <v>0.7582</v>
      </c>
      <c r="H238" s="102">
        <v>0.7585</v>
      </c>
      <c r="I238" s="102">
        <v>0.7791</v>
      </c>
      <c r="J238" s="102">
        <v>0.7797</v>
      </c>
      <c r="K238" s="102">
        <v>0.7727</v>
      </c>
      <c r="L238" s="102">
        <v>0.7959</v>
      </c>
      <c r="M238" s="102">
        <v>0.7909</v>
      </c>
      <c r="N238" s="102">
        <v>0.7847</v>
      </c>
    </row>
    <row r="239" ht="15" spans="1:14">
      <c r="A239" s="98"/>
      <c r="B239" s="99">
        <v>11</v>
      </c>
      <c r="C239" s="100">
        <v>0.7433</v>
      </c>
      <c r="D239" s="101">
        <v>0.7533</v>
      </c>
      <c r="E239" s="101">
        <v>0.7511</v>
      </c>
      <c r="F239" s="100">
        <v>0.7744</v>
      </c>
      <c r="G239" s="102">
        <v>0.7754</v>
      </c>
      <c r="H239" s="102">
        <v>0.7752</v>
      </c>
      <c r="I239" s="102">
        <v>0.7992</v>
      </c>
      <c r="J239" s="102">
        <v>0.797</v>
      </c>
      <c r="K239" s="102">
        <v>0.7866</v>
      </c>
      <c r="L239" s="102">
        <v>0.8124</v>
      </c>
      <c r="M239" s="102">
        <v>0.8047</v>
      </c>
      <c r="N239" s="102">
        <v>0.7988</v>
      </c>
    </row>
    <row r="240" ht="15" spans="1:14">
      <c r="A240" s="98"/>
      <c r="B240" s="99">
        <v>12</v>
      </c>
      <c r="C240" s="100">
        <v>0.7572</v>
      </c>
      <c r="D240" s="101">
        <v>0.7556</v>
      </c>
      <c r="E240" s="101">
        <v>0.7588</v>
      </c>
      <c r="F240" s="100">
        <v>0.7861</v>
      </c>
      <c r="G240" s="102">
        <v>0.7865</v>
      </c>
      <c r="H240" s="102">
        <v>0.7826</v>
      </c>
      <c r="I240" s="102">
        <v>0.8056</v>
      </c>
      <c r="J240" s="102">
        <v>0.8024</v>
      </c>
      <c r="K240" s="102">
        <v>0.7931</v>
      </c>
      <c r="L240" s="102">
        <v>0.8181</v>
      </c>
      <c r="M240" s="102">
        <v>0.8124</v>
      </c>
      <c r="N240" s="102">
        <v>0.8006</v>
      </c>
    </row>
    <row r="241" ht="15" spans="1:14">
      <c r="A241" s="98"/>
      <c r="B241" s="99">
        <v>13</v>
      </c>
      <c r="C241" s="100">
        <v>0.7595</v>
      </c>
      <c r="D241" s="101">
        <v>0.7595</v>
      </c>
      <c r="E241" s="101">
        <v>0.7615</v>
      </c>
      <c r="F241" s="100">
        <v>0.7893</v>
      </c>
      <c r="G241" s="102">
        <v>0.7885</v>
      </c>
      <c r="H241" s="102">
        <v>0.7826</v>
      </c>
      <c r="I241" s="102">
        <v>0.8069</v>
      </c>
      <c r="J241" s="102">
        <v>0.8026</v>
      </c>
      <c r="K241" s="102">
        <v>0.7933</v>
      </c>
      <c r="L241" s="102">
        <v>0.8199</v>
      </c>
      <c r="M241" s="102">
        <v>0.8112</v>
      </c>
      <c r="N241" s="102">
        <v>0.8012</v>
      </c>
    </row>
    <row r="242" ht="15" spans="1:14">
      <c r="A242" s="98"/>
      <c r="B242" s="99">
        <v>14</v>
      </c>
      <c r="C242" s="100">
        <v>0.7646</v>
      </c>
      <c r="D242" s="101">
        <v>0.7656</v>
      </c>
      <c r="E242" s="101">
        <v>0.7655</v>
      </c>
      <c r="F242" s="100">
        <v>0.7923</v>
      </c>
      <c r="G242" s="102">
        <v>0.7896</v>
      </c>
      <c r="H242" s="102">
        <v>0.786</v>
      </c>
      <c r="I242" s="102">
        <v>0.8099</v>
      </c>
      <c r="J242" s="102">
        <v>0.8031</v>
      </c>
      <c r="K242" s="102">
        <v>0.7941</v>
      </c>
      <c r="L242" s="102">
        <v>0.821</v>
      </c>
      <c r="M242" s="102">
        <v>0.8122</v>
      </c>
      <c r="N242" s="102">
        <v>0.8071</v>
      </c>
    </row>
    <row r="243" ht="15" spans="1:14">
      <c r="A243" s="98"/>
      <c r="B243" s="99">
        <v>15</v>
      </c>
      <c r="C243" s="100">
        <v>0.7686</v>
      </c>
      <c r="D243" s="101">
        <v>0.7728</v>
      </c>
      <c r="E243" s="101">
        <v>0.7682</v>
      </c>
      <c r="F243" s="100">
        <v>0.7955</v>
      </c>
      <c r="G243" s="102">
        <v>0.7918</v>
      </c>
      <c r="H243" s="102">
        <v>0.7877</v>
      </c>
      <c r="I243" s="102">
        <v>0.8164</v>
      </c>
      <c r="J243" s="102">
        <v>0.8051</v>
      </c>
      <c r="K243" s="102">
        <v>0.7946</v>
      </c>
      <c r="L243" s="102">
        <v>0.8233</v>
      </c>
      <c r="M243" s="102">
        <v>0.8138</v>
      </c>
      <c r="N243" s="102">
        <v>0.8072</v>
      </c>
    </row>
    <row r="244" ht="15" spans="1:14">
      <c r="A244" s="98"/>
      <c r="B244" s="99">
        <v>16</v>
      </c>
      <c r="C244" s="100">
        <v>0.7772</v>
      </c>
      <c r="D244" s="101">
        <v>0.779</v>
      </c>
      <c r="E244" s="101">
        <v>0.775</v>
      </c>
      <c r="F244" s="100">
        <v>0.8034</v>
      </c>
      <c r="G244" s="102">
        <v>0.7985</v>
      </c>
      <c r="H244" s="102">
        <v>0.7918</v>
      </c>
      <c r="I244" s="102">
        <v>0.8209</v>
      </c>
      <c r="J244" s="102">
        <v>0.8108</v>
      </c>
      <c r="K244" s="102">
        <v>0.799</v>
      </c>
      <c r="L244" s="102">
        <v>0.8281</v>
      </c>
      <c r="M244" s="102">
        <v>0.8206</v>
      </c>
      <c r="N244" s="102">
        <v>0.8111</v>
      </c>
    </row>
    <row r="245" ht="15" spans="1:14">
      <c r="A245" s="98"/>
      <c r="B245" s="99">
        <v>17</v>
      </c>
      <c r="C245" s="100">
        <v>0.7861</v>
      </c>
      <c r="D245" s="101">
        <v>0.7869</v>
      </c>
      <c r="E245" s="101">
        <v>0.7791</v>
      </c>
      <c r="F245" s="100">
        <v>0.8049</v>
      </c>
      <c r="G245" s="102">
        <v>0.7976</v>
      </c>
      <c r="H245" s="102">
        <v>0.7948</v>
      </c>
      <c r="I245" s="102">
        <v>0.8249</v>
      </c>
      <c r="J245" s="102">
        <v>0.8126</v>
      </c>
      <c r="K245" s="102">
        <v>0.8062</v>
      </c>
      <c r="L245" s="102">
        <v>0.8312</v>
      </c>
      <c r="M245" s="102">
        <v>0.8234</v>
      </c>
      <c r="N245" s="102">
        <v>0.8127</v>
      </c>
    </row>
    <row r="246" ht="15" spans="1:14">
      <c r="A246" s="98"/>
      <c r="B246" s="99">
        <v>18</v>
      </c>
      <c r="C246" s="100">
        <v>0.7901</v>
      </c>
      <c r="D246" s="101">
        <v>0.7862</v>
      </c>
      <c r="E246" s="101">
        <v>0.7818</v>
      </c>
      <c r="F246" s="100">
        <v>0.8117</v>
      </c>
      <c r="G246" s="102">
        <v>0.8031</v>
      </c>
      <c r="H246" s="102">
        <v>0.7975</v>
      </c>
      <c r="I246" s="102">
        <v>0.8277</v>
      </c>
      <c r="J246" s="102">
        <v>0.817</v>
      </c>
      <c r="K246" s="102">
        <v>0.8069</v>
      </c>
      <c r="L246" s="102">
        <v>0.8344</v>
      </c>
      <c r="M246" s="102">
        <v>0.8254</v>
      </c>
      <c r="N246" s="102">
        <v>0.8136</v>
      </c>
    </row>
    <row r="247" ht="15" spans="1:14">
      <c r="A247" s="98"/>
      <c r="B247" s="99">
        <v>19</v>
      </c>
      <c r="C247" s="100">
        <v>0.7921</v>
      </c>
      <c r="D247" s="101">
        <v>0.7906</v>
      </c>
      <c r="E247" s="101">
        <v>0.7844</v>
      </c>
      <c r="F247" s="100">
        <v>0.8148</v>
      </c>
      <c r="G247" s="102">
        <v>0.805</v>
      </c>
      <c r="H247" s="102">
        <v>0.7989</v>
      </c>
      <c r="I247" s="102">
        <v>0.8275</v>
      </c>
      <c r="J247" s="102">
        <v>0.8175</v>
      </c>
      <c r="K247" s="102">
        <v>0.8091</v>
      </c>
      <c r="L247" s="102">
        <v>0.8353</v>
      </c>
      <c r="M247" s="102">
        <v>0.827</v>
      </c>
      <c r="N247" s="102">
        <v>0.8166</v>
      </c>
    </row>
    <row r="248" ht="15" spans="1:14">
      <c r="A248" s="98"/>
      <c r="B248" s="99">
        <v>20</v>
      </c>
      <c r="C248" s="100">
        <v>0.7991</v>
      </c>
      <c r="D248" s="101">
        <v>0.7947</v>
      </c>
      <c r="E248" s="101">
        <v>0.7854</v>
      </c>
      <c r="F248" s="100">
        <v>0.8174</v>
      </c>
      <c r="G248" s="102">
        <v>0.8059</v>
      </c>
      <c r="H248" s="102">
        <v>0.8001</v>
      </c>
      <c r="I248" s="102">
        <v>0.8315</v>
      </c>
      <c r="J248" s="102">
        <v>0.8227</v>
      </c>
      <c r="K248" s="102">
        <v>0.8075</v>
      </c>
      <c r="L248" s="102">
        <v>0.8365</v>
      </c>
      <c r="M248" s="102">
        <v>0.8309</v>
      </c>
      <c r="N248" s="102">
        <v>0.8205</v>
      </c>
    </row>
    <row r="249" ht="15" spans="1:14">
      <c r="A249" s="98"/>
      <c r="B249" s="99">
        <v>21</v>
      </c>
      <c r="C249" s="100">
        <v>0.8123</v>
      </c>
      <c r="D249" s="101">
        <v>0.8064</v>
      </c>
      <c r="E249" s="101">
        <v>0.8012</v>
      </c>
      <c r="F249" s="100">
        <v>0.8322</v>
      </c>
      <c r="G249" s="102">
        <v>0.8248</v>
      </c>
      <c r="H249" s="102">
        <v>0.8172</v>
      </c>
      <c r="I249" s="102">
        <v>0.8435</v>
      </c>
      <c r="J249" s="102">
        <v>0.8379</v>
      </c>
      <c r="K249" s="102">
        <v>0.8239</v>
      </c>
      <c r="L249" s="102">
        <v>0.8553</v>
      </c>
      <c r="M249" s="102">
        <v>0.8466</v>
      </c>
      <c r="N249" s="102">
        <v>0.8301</v>
      </c>
    </row>
    <row r="250" ht="15" spans="1:14">
      <c r="A250" s="98"/>
      <c r="B250" s="99">
        <v>22</v>
      </c>
      <c r="C250" s="100">
        <v>0.813</v>
      </c>
      <c r="D250" s="101">
        <v>0.807</v>
      </c>
      <c r="E250" s="101">
        <v>0.8028</v>
      </c>
      <c r="F250" s="100">
        <v>0.8319</v>
      </c>
      <c r="G250" s="102">
        <v>0.8242</v>
      </c>
      <c r="H250" s="102">
        <v>0.8176</v>
      </c>
      <c r="I250" s="102">
        <v>0.8438</v>
      </c>
      <c r="J250" s="102">
        <v>0.8371</v>
      </c>
      <c r="K250" s="102">
        <v>0.8253</v>
      </c>
      <c r="L250" s="102">
        <v>0.8591</v>
      </c>
      <c r="M250" s="102">
        <v>0.846</v>
      </c>
      <c r="N250" s="102">
        <v>0.8315</v>
      </c>
    </row>
    <row r="251" ht="15" spans="1:14">
      <c r="A251" s="98"/>
      <c r="B251" s="99">
        <v>23</v>
      </c>
      <c r="C251" s="100">
        <v>0.8209</v>
      </c>
      <c r="D251" s="101">
        <v>0.8133</v>
      </c>
      <c r="E251" s="101">
        <v>0.8034</v>
      </c>
      <c r="F251" s="100">
        <v>0.832</v>
      </c>
      <c r="G251" s="102">
        <v>0.8221</v>
      </c>
      <c r="H251" s="102">
        <v>0.821</v>
      </c>
      <c r="I251" s="102">
        <v>0.8446</v>
      </c>
      <c r="J251" s="102">
        <v>0.8389</v>
      </c>
      <c r="K251" s="102">
        <v>0.8244</v>
      </c>
      <c r="L251" s="102">
        <v>0.8581</v>
      </c>
      <c r="M251" s="102">
        <v>0.8438</v>
      </c>
      <c r="N251" s="102">
        <v>0.8331</v>
      </c>
    </row>
    <row r="252" ht="15" spans="1:14">
      <c r="A252" s="98"/>
      <c r="B252" s="99">
        <v>24</v>
      </c>
      <c r="C252" s="100">
        <v>0.8252</v>
      </c>
      <c r="D252" s="101">
        <v>0.8156</v>
      </c>
      <c r="E252" s="101">
        <v>0.8025</v>
      </c>
      <c r="F252" s="100">
        <v>0.8365</v>
      </c>
      <c r="G252" s="102">
        <v>0.8238</v>
      </c>
      <c r="H252" s="102">
        <v>0.8224</v>
      </c>
      <c r="I252" s="102">
        <v>0.8487</v>
      </c>
      <c r="J252" s="102">
        <v>0.8394</v>
      </c>
      <c r="K252" s="102">
        <v>0.8221</v>
      </c>
      <c r="L252" s="102">
        <v>0.8589</v>
      </c>
      <c r="M252" s="102">
        <v>0.8418</v>
      </c>
      <c r="N252" s="102">
        <v>0.8313</v>
      </c>
    </row>
    <row r="253" ht="15" spans="1:14">
      <c r="A253" s="98"/>
      <c r="B253" s="99">
        <v>25</v>
      </c>
      <c r="C253" s="100">
        <v>0.8229</v>
      </c>
      <c r="D253" s="101">
        <v>0.8117</v>
      </c>
      <c r="E253" s="101">
        <v>0.8075</v>
      </c>
      <c r="F253" s="100">
        <v>0.8389</v>
      </c>
      <c r="G253" s="102">
        <v>0.8322</v>
      </c>
      <c r="H253" s="102">
        <v>0.8228</v>
      </c>
      <c r="I253" s="102">
        <v>0.8497</v>
      </c>
      <c r="J253" s="102">
        <v>0.8389</v>
      </c>
      <c r="K253" s="102">
        <v>0.8235</v>
      </c>
      <c r="L253" s="102">
        <v>0.86</v>
      </c>
      <c r="M253" s="102">
        <v>0.842</v>
      </c>
      <c r="N253" s="102">
        <v>0.83</v>
      </c>
    </row>
    <row r="256" ht="15" spans="1:14">
      <c r="A256" s="98">
        <v>0.1</v>
      </c>
      <c r="B256" s="99">
        <v>6</v>
      </c>
      <c r="C256" s="100">
        <v>0.5685</v>
      </c>
      <c r="D256" s="101">
        <v>0.5998</v>
      </c>
      <c r="E256" s="101">
        <v>0.6163</v>
      </c>
      <c r="F256" s="100">
        <v>0.6257</v>
      </c>
      <c r="G256" s="102">
        <v>0.6483</v>
      </c>
      <c r="H256" s="102">
        <v>0.6622</v>
      </c>
      <c r="I256" s="102">
        <v>0.6634</v>
      </c>
      <c r="J256" s="102">
        <v>0.6813</v>
      </c>
      <c r="K256" s="102">
        <v>0.6912</v>
      </c>
      <c r="L256" s="102">
        <v>0.694</v>
      </c>
      <c r="M256" s="102">
        <v>0.7087</v>
      </c>
      <c r="N256" s="102">
        <v>0.7136</v>
      </c>
    </row>
    <row r="257" ht="15" spans="1:14">
      <c r="A257" s="98"/>
      <c r="B257" s="99">
        <v>7</v>
      </c>
      <c r="C257" s="100">
        <v>0.598</v>
      </c>
      <c r="D257" s="101">
        <v>0.6231</v>
      </c>
      <c r="E257" s="101">
        <v>0.6404</v>
      </c>
      <c r="F257" s="100">
        <v>0.6506</v>
      </c>
      <c r="G257" s="102">
        <v>0.6707</v>
      </c>
      <c r="H257" s="102">
        <v>0.6806</v>
      </c>
      <c r="I257" s="102">
        <v>0.6867</v>
      </c>
      <c r="J257" s="102">
        <v>0.7029</v>
      </c>
      <c r="K257" s="102">
        <v>0.708</v>
      </c>
      <c r="L257" s="102">
        <v>0.7159</v>
      </c>
      <c r="M257" s="102">
        <v>0.7262</v>
      </c>
      <c r="N257" s="102">
        <v>0.728</v>
      </c>
    </row>
    <row r="258" ht="15" spans="1:14">
      <c r="A258" s="98"/>
      <c r="B258" s="99">
        <v>8</v>
      </c>
      <c r="C258" s="100">
        <v>0.6247</v>
      </c>
      <c r="D258" s="101">
        <v>0.646</v>
      </c>
      <c r="E258" s="101">
        <v>0.6602</v>
      </c>
      <c r="F258" s="100">
        <v>0.6741</v>
      </c>
      <c r="G258" s="102">
        <v>0.6905</v>
      </c>
      <c r="H258" s="102">
        <v>0.6981</v>
      </c>
      <c r="I258" s="102">
        <v>0.7076</v>
      </c>
      <c r="J258" s="102">
        <v>0.7198</v>
      </c>
      <c r="K258" s="102">
        <v>0.7247</v>
      </c>
      <c r="L258" s="102">
        <v>0.7328</v>
      </c>
      <c r="M258" s="102">
        <v>0.7411</v>
      </c>
      <c r="N258" s="102">
        <v>0.7411</v>
      </c>
    </row>
    <row r="259" ht="15" spans="1:14">
      <c r="A259" s="98"/>
      <c r="B259" s="99">
        <v>9</v>
      </c>
      <c r="C259" s="100">
        <v>0.6405</v>
      </c>
      <c r="D259" s="101">
        <v>0.6596</v>
      </c>
      <c r="E259" s="101">
        <v>0.6725</v>
      </c>
      <c r="F259" s="100">
        <v>0.6883</v>
      </c>
      <c r="G259" s="102">
        <v>0.7015</v>
      </c>
      <c r="H259" s="102">
        <v>0.7083</v>
      </c>
      <c r="I259" s="102">
        <v>0.7206</v>
      </c>
      <c r="J259" s="102">
        <v>0.731</v>
      </c>
      <c r="K259" s="102">
        <v>0.7311</v>
      </c>
      <c r="L259" s="102">
        <v>0.7419</v>
      </c>
      <c r="M259" s="102">
        <v>0.7477</v>
      </c>
      <c r="N259" s="102">
        <v>0.7465</v>
      </c>
    </row>
    <row r="260" ht="15" spans="1:14">
      <c r="A260" s="98"/>
      <c r="B260" s="99">
        <v>10</v>
      </c>
      <c r="C260" s="100">
        <v>0.6576</v>
      </c>
      <c r="D260" s="101">
        <v>0.6735</v>
      </c>
      <c r="E260" s="101">
        <v>0.6864</v>
      </c>
      <c r="F260" s="100">
        <v>0.7022</v>
      </c>
      <c r="G260" s="102">
        <v>0.714</v>
      </c>
      <c r="H260" s="102">
        <v>0.719</v>
      </c>
      <c r="I260" s="102">
        <v>0.7338</v>
      </c>
      <c r="J260" s="102">
        <v>0.741</v>
      </c>
      <c r="K260" s="102">
        <v>0.7405</v>
      </c>
      <c r="L260" s="102">
        <v>0.7525</v>
      </c>
      <c r="M260" s="102">
        <v>0.7551</v>
      </c>
      <c r="N260" s="102">
        <v>0.7528</v>
      </c>
    </row>
    <row r="261" ht="15" spans="1:14">
      <c r="A261" s="98"/>
      <c r="B261" s="99">
        <v>11</v>
      </c>
      <c r="C261" s="100">
        <v>0.6873</v>
      </c>
      <c r="D261" s="101">
        <v>0.703</v>
      </c>
      <c r="E261" s="101">
        <v>0.7105</v>
      </c>
      <c r="F261" s="100">
        <v>0.7299</v>
      </c>
      <c r="G261" s="102">
        <v>0.7389</v>
      </c>
      <c r="H261" s="102">
        <v>0.7408</v>
      </c>
      <c r="I261" s="102">
        <v>0.7589</v>
      </c>
      <c r="J261" s="102">
        <v>0.7644</v>
      </c>
      <c r="K261" s="102">
        <v>0.7615</v>
      </c>
      <c r="L261" s="102">
        <v>0.7758</v>
      </c>
      <c r="M261" s="102">
        <v>0.7757</v>
      </c>
      <c r="N261" s="102">
        <v>0.7716</v>
      </c>
    </row>
    <row r="262" ht="15" spans="1:14">
      <c r="A262" s="98"/>
      <c r="B262" s="99">
        <v>12</v>
      </c>
      <c r="C262" s="100">
        <v>0.6982</v>
      </c>
      <c r="D262" s="101">
        <v>0.7109</v>
      </c>
      <c r="E262" s="101">
        <v>0.7188</v>
      </c>
      <c r="F262" s="100">
        <v>0.7409</v>
      </c>
      <c r="G262" s="102">
        <v>0.7491</v>
      </c>
      <c r="H262" s="102">
        <v>0.7494</v>
      </c>
      <c r="I262" s="102">
        <v>0.7673</v>
      </c>
      <c r="J262" s="102">
        <v>0.7711</v>
      </c>
      <c r="K262" s="102">
        <v>0.7681</v>
      </c>
      <c r="L262" s="102">
        <v>0.7834</v>
      </c>
      <c r="M262" s="102">
        <v>0.7824</v>
      </c>
      <c r="N262" s="102">
        <v>0.777</v>
      </c>
    </row>
    <row r="263" ht="15" spans="1:14">
      <c r="A263" s="98"/>
      <c r="B263" s="99">
        <v>13</v>
      </c>
      <c r="C263" s="100">
        <v>0.7049</v>
      </c>
      <c r="D263" s="101">
        <v>0.7163</v>
      </c>
      <c r="E263" s="101">
        <v>0.7233</v>
      </c>
      <c r="F263" s="100">
        <v>0.7432</v>
      </c>
      <c r="G263" s="102">
        <v>0.7496</v>
      </c>
      <c r="H263" s="102">
        <v>0.7487</v>
      </c>
      <c r="I263" s="102">
        <v>0.7683</v>
      </c>
      <c r="J263" s="102">
        <v>0.7701</v>
      </c>
      <c r="K263" s="102">
        <v>0.765</v>
      </c>
      <c r="L263" s="102">
        <v>0.7834</v>
      </c>
      <c r="M263" s="102">
        <v>0.7813</v>
      </c>
      <c r="N263" s="102">
        <v>0.7747</v>
      </c>
    </row>
    <row r="264" ht="15" spans="1:14">
      <c r="A264" s="98"/>
      <c r="B264" s="99">
        <v>14</v>
      </c>
      <c r="C264" s="100">
        <v>0.7167</v>
      </c>
      <c r="D264" s="101">
        <v>0.7255</v>
      </c>
      <c r="E264" s="101">
        <v>0.7292</v>
      </c>
      <c r="F264" s="100">
        <v>0.7517</v>
      </c>
      <c r="G264" s="102">
        <v>0.7567</v>
      </c>
      <c r="H264" s="102">
        <v>0.754</v>
      </c>
      <c r="I264" s="102">
        <v>0.7741</v>
      </c>
      <c r="J264" s="102">
        <v>0.7741</v>
      </c>
      <c r="K264" s="102">
        <v>0.7694</v>
      </c>
      <c r="L264" s="102">
        <v>0.7877</v>
      </c>
      <c r="M264" s="102">
        <v>0.7851</v>
      </c>
      <c r="N264" s="102">
        <v>0.7763</v>
      </c>
    </row>
    <row r="265" ht="15" spans="1:14">
      <c r="A265" s="98"/>
      <c r="B265" s="99">
        <v>15</v>
      </c>
      <c r="C265" s="100">
        <v>0.7251</v>
      </c>
      <c r="D265" s="101">
        <v>0.7319</v>
      </c>
      <c r="E265" s="101">
        <v>0.7328</v>
      </c>
      <c r="F265" s="100">
        <v>0.7572</v>
      </c>
      <c r="G265" s="102">
        <v>0.7602</v>
      </c>
      <c r="H265" s="102">
        <v>0.7559</v>
      </c>
      <c r="I265" s="102">
        <v>0.7786</v>
      </c>
      <c r="J265" s="102">
        <v>0.7778</v>
      </c>
      <c r="K265" s="102">
        <v>0.7712</v>
      </c>
      <c r="L265" s="102">
        <v>0.792</v>
      </c>
      <c r="M265" s="102">
        <v>0.7887</v>
      </c>
      <c r="N265" s="102">
        <v>0.7815</v>
      </c>
    </row>
    <row r="266" ht="15" spans="1:14">
      <c r="A266" s="98"/>
      <c r="B266" s="99">
        <v>16</v>
      </c>
      <c r="C266" s="100">
        <v>0.7325</v>
      </c>
      <c r="D266" s="101">
        <v>0.7396</v>
      </c>
      <c r="E266" s="101">
        <v>0.7419</v>
      </c>
      <c r="F266" s="100">
        <v>0.7652</v>
      </c>
      <c r="G266" s="102">
        <v>0.766</v>
      </c>
      <c r="H266" s="102">
        <v>0.7659</v>
      </c>
      <c r="I266" s="102">
        <v>0.7853</v>
      </c>
      <c r="J266" s="102">
        <v>0.7835</v>
      </c>
      <c r="K266" s="102">
        <v>0.7766</v>
      </c>
      <c r="L266" s="102">
        <v>0.7978</v>
      </c>
      <c r="M266" s="102">
        <v>0.7955</v>
      </c>
      <c r="N266" s="102">
        <v>0.7867</v>
      </c>
    </row>
    <row r="267" ht="15" spans="1:14">
      <c r="A267" s="98"/>
      <c r="B267" s="99">
        <v>17</v>
      </c>
      <c r="C267" s="100">
        <v>0.7374</v>
      </c>
      <c r="D267" s="101">
        <v>0.7436</v>
      </c>
      <c r="E267" s="101">
        <v>0.7454</v>
      </c>
      <c r="F267" s="100">
        <v>0.7688</v>
      </c>
      <c r="G267" s="102">
        <v>0.7679</v>
      </c>
      <c r="H267" s="102">
        <v>0.7689</v>
      </c>
      <c r="I267" s="102">
        <v>0.7882</v>
      </c>
      <c r="J267" s="102">
        <v>0.7859</v>
      </c>
      <c r="K267" s="102">
        <v>0.7787</v>
      </c>
      <c r="L267" s="102">
        <v>0.8006</v>
      </c>
      <c r="M267" s="102">
        <v>0.7973</v>
      </c>
      <c r="N267" s="102">
        <v>0.7895</v>
      </c>
    </row>
    <row r="268" ht="15" spans="1:14">
      <c r="A268" s="98"/>
      <c r="B268" s="99">
        <v>18</v>
      </c>
      <c r="C268" s="100">
        <v>0.7448</v>
      </c>
      <c r="D268" s="101">
        <v>0.7485</v>
      </c>
      <c r="E268" s="101">
        <v>0.7485</v>
      </c>
      <c r="F268" s="100">
        <v>0.7739</v>
      </c>
      <c r="G268" s="102">
        <v>0.7719</v>
      </c>
      <c r="H268" s="102">
        <v>0.7722</v>
      </c>
      <c r="I268" s="102">
        <v>0.7913</v>
      </c>
      <c r="J268" s="102">
        <v>0.7912</v>
      </c>
      <c r="K268" s="102">
        <v>0.7798</v>
      </c>
      <c r="L268" s="102">
        <v>0.8033</v>
      </c>
      <c r="M268" s="102">
        <v>0.7995</v>
      </c>
      <c r="N268" s="102">
        <v>0.7905</v>
      </c>
    </row>
    <row r="269" ht="15" spans="1:14">
      <c r="A269" s="98"/>
      <c r="B269" s="99">
        <v>19</v>
      </c>
      <c r="C269" s="100">
        <v>0.7502</v>
      </c>
      <c r="D269" s="101">
        <v>0.7544</v>
      </c>
      <c r="E269" s="101">
        <v>0.7555</v>
      </c>
      <c r="F269" s="100">
        <v>0.7777</v>
      </c>
      <c r="G269" s="102">
        <v>0.7759</v>
      </c>
      <c r="H269" s="102">
        <v>0.7738</v>
      </c>
      <c r="I269" s="102">
        <v>0.7953</v>
      </c>
      <c r="J269" s="102">
        <v>0.7934</v>
      </c>
      <c r="K269" s="102">
        <v>0.781</v>
      </c>
      <c r="L269" s="102">
        <v>0.8064</v>
      </c>
      <c r="M269" s="102">
        <v>0.8026</v>
      </c>
      <c r="N269" s="102">
        <v>0.7929</v>
      </c>
    </row>
    <row r="270" ht="15" spans="1:14">
      <c r="A270" s="98"/>
      <c r="B270" s="99">
        <v>20</v>
      </c>
      <c r="C270" s="100">
        <v>0.7565</v>
      </c>
      <c r="D270" s="101">
        <v>0.7596</v>
      </c>
      <c r="E270" s="101">
        <v>0.7591</v>
      </c>
      <c r="F270" s="100">
        <v>0.783</v>
      </c>
      <c r="G270" s="102">
        <v>0.7794</v>
      </c>
      <c r="H270" s="102">
        <v>0.7763</v>
      </c>
      <c r="I270" s="102">
        <v>0.8008</v>
      </c>
      <c r="J270" s="102">
        <v>0.7953</v>
      </c>
      <c r="K270" s="102">
        <v>0.7831</v>
      </c>
      <c r="L270" s="102">
        <v>0.8117</v>
      </c>
      <c r="M270" s="102">
        <v>0.8059</v>
      </c>
      <c r="N270" s="102">
        <v>0.7973</v>
      </c>
    </row>
    <row r="271" ht="15" spans="1:14">
      <c r="A271" s="98"/>
      <c r="B271" s="99">
        <v>21</v>
      </c>
      <c r="C271" s="100">
        <v>0.7771</v>
      </c>
      <c r="D271" s="101">
        <v>0.7787</v>
      </c>
      <c r="E271" s="101">
        <v>0.778</v>
      </c>
      <c r="F271" s="100">
        <v>0.8033</v>
      </c>
      <c r="G271" s="102">
        <v>0.7999</v>
      </c>
      <c r="H271" s="102">
        <v>0.7932</v>
      </c>
      <c r="I271" s="102">
        <v>0.8202</v>
      </c>
      <c r="J271" s="102">
        <v>0.8132</v>
      </c>
      <c r="K271" s="102">
        <v>0.7996</v>
      </c>
      <c r="L271" s="102">
        <v>0.8288</v>
      </c>
      <c r="M271" s="102">
        <v>0.8249</v>
      </c>
      <c r="N271" s="102">
        <v>0.8144</v>
      </c>
    </row>
    <row r="272" ht="15" spans="1:14">
      <c r="A272" s="98"/>
      <c r="B272" s="99">
        <v>22</v>
      </c>
      <c r="C272" s="100">
        <v>0.7796</v>
      </c>
      <c r="D272" s="101">
        <v>0.7803</v>
      </c>
      <c r="E272" s="101">
        <v>0.7799</v>
      </c>
      <c r="F272" s="100">
        <v>0.8044</v>
      </c>
      <c r="G272" s="102">
        <v>0.8029</v>
      </c>
      <c r="H272" s="102">
        <v>0.7973</v>
      </c>
      <c r="I272" s="102">
        <v>0.8227</v>
      </c>
      <c r="J272" s="102">
        <v>0.8159</v>
      </c>
      <c r="K272" s="102">
        <v>0.8015</v>
      </c>
      <c r="L272" s="102">
        <v>0.8318</v>
      </c>
      <c r="M272" s="102">
        <v>0.8236</v>
      </c>
      <c r="N272" s="102">
        <v>0.8237</v>
      </c>
    </row>
    <row r="273" ht="15" spans="1:14">
      <c r="A273" s="98"/>
      <c r="B273" s="99">
        <v>23</v>
      </c>
      <c r="C273" s="100">
        <v>0.7836</v>
      </c>
      <c r="D273" s="101">
        <v>0.7838</v>
      </c>
      <c r="E273" s="101">
        <v>0.783</v>
      </c>
      <c r="F273" s="100">
        <v>0.8091</v>
      </c>
      <c r="G273" s="102">
        <v>0.8057</v>
      </c>
      <c r="H273" s="102">
        <v>0.7973</v>
      </c>
      <c r="I273" s="102">
        <v>0.8265</v>
      </c>
      <c r="J273" s="102">
        <v>0.8175</v>
      </c>
      <c r="K273" s="102">
        <v>0.8049</v>
      </c>
      <c r="L273" s="102">
        <v>0.8344</v>
      </c>
      <c r="M273" s="102">
        <v>0.8263</v>
      </c>
      <c r="N273" s="102">
        <v>0.8228</v>
      </c>
    </row>
    <row r="274" ht="15" spans="1:14">
      <c r="A274" s="98"/>
      <c r="B274" s="99">
        <v>24</v>
      </c>
      <c r="C274" s="100">
        <v>0.7873</v>
      </c>
      <c r="D274" s="101">
        <v>0.7866</v>
      </c>
      <c r="E274" s="101">
        <v>0.7852</v>
      </c>
      <c r="F274" s="100">
        <v>0.8112</v>
      </c>
      <c r="G274" s="102">
        <v>0.806</v>
      </c>
      <c r="H274" s="102">
        <v>0.7953</v>
      </c>
      <c r="I274" s="102">
        <v>0.8265</v>
      </c>
      <c r="J274" s="102">
        <v>0.8162</v>
      </c>
      <c r="K274" s="102">
        <v>0.8057</v>
      </c>
      <c r="L274" s="102">
        <v>0.8336</v>
      </c>
      <c r="M274" s="102">
        <v>0.8274</v>
      </c>
      <c r="N274" s="102">
        <v>0.8214</v>
      </c>
    </row>
    <row r="275" ht="15" spans="1:14">
      <c r="A275" s="98"/>
      <c r="B275" s="99">
        <v>25</v>
      </c>
      <c r="C275" s="100">
        <v>0.7904</v>
      </c>
      <c r="D275" s="101">
        <v>0.789</v>
      </c>
      <c r="E275" s="101">
        <v>0.7859</v>
      </c>
      <c r="F275" s="100">
        <v>0.8114</v>
      </c>
      <c r="G275" s="102">
        <v>0.8057</v>
      </c>
      <c r="H275" s="102">
        <v>0.7946</v>
      </c>
      <c r="I275" s="102">
        <v>0.826</v>
      </c>
      <c r="J275" s="102">
        <v>0.8151</v>
      </c>
      <c r="K275" s="102">
        <v>0.8122</v>
      </c>
      <c r="L275" s="102">
        <v>0.8331</v>
      </c>
      <c r="M275" s="102">
        <v>0.8317</v>
      </c>
      <c r="N275" s="102">
        <v>0.8267</v>
      </c>
    </row>
    <row r="278" ht="15" spans="1:14">
      <c r="A278" s="98">
        <v>0.05</v>
      </c>
      <c r="B278" s="99">
        <v>6</v>
      </c>
      <c r="C278" s="100">
        <v>0.4216</v>
      </c>
      <c r="D278" s="101">
        <v>0.4585</v>
      </c>
      <c r="E278" s="101">
        <v>0.4911</v>
      </c>
      <c r="F278" s="100">
        <v>0.4847</v>
      </c>
      <c r="G278" s="102">
        <v>0.5233</v>
      </c>
      <c r="H278" s="102">
        <v>0.5479</v>
      </c>
      <c r="I278" s="102">
        <v>0.5332</v>
      </c>
      <c r="J278" s="102">
        <v>0.5672</v>
      </c>
      <c r="K278" s="102">
        <v>0.5896</v>
      </c>
      <c r="L278" s="102">
        <v>0.5716</v>
      </c>
      <c r="M278" s="102">
        <v>0.6046</v>
      </c>
      <c r="N278" s="102">
        <v>0.6216</v>
      </c>
    </row>
    <row r="279" ht="15" spans="1:14">
      <c r="A279" s="98"/>
      <c r="B279" s="99">
        <v>7</v>
      </c>
      <c r="C279" s="100">
        <v>0.4533</v>
      </c>
      <c r="D279" s="101">
        <v>0.4899</v>
      </c>
      <c r="E279" s="101">
        <v>0.5204</v>
      </c>
      <c r="F279" s="100">
        <v>0.5173</v>
      </c>
      <c r="G279" s="102">
        <v>0.552</v>
      </c>
      <c r="H279" s="102">
        <v>0.5778</v>
      </c>
      <c r="I279" s="102">
        <v>0.5647</v>
      </c>
      <c r="J279" s="102">
        <v>0.5957</v>
      </c>
      <c r="K279" s="102">
        <v>0.6133</v>
      </c>
      <c r="L279" s="102">
        <v>0.6009</v>
      </c>
      <c r="M279" s="102">
        <v>0.6287</v>
      </c>
      <c r="N279" s="102">
        <v>0.6442</v>
      </c>
    </row>
    <row r="280" ht="15" spans="1:14">
      <c r="A280" s="98"/>
      <c r="B280" s="99">
        <v>8</v>
      </c>
      <c r="C280" s="100">
        <v>0.483</v>
      </c>
      <c r="D280" s="101">
        <v>0.5193</v>
      </c>
      <c r="E280" s="101">
        <v>0.5477</v>
      </c>
      <c r="F280" s="100">
        <v>0.5469</v>
      </c>
      <c r="G280" s="102">
        <v>0.5793</v>
      </c>
      <c r="H280" s="102">
        <v>0.6006</v>
      </c>
      <c r="I280" s="102">
        <v>0.5929</v>
      </c>
      <c r="J280" s="102">
        <v>0.6203</v>
      </c>
      <c r="K280" s="102">
        <v>0.6367</v>
      </c>
      <c r="L280" s="102">
        <v>0.6271</v>
      </c>
      <c r="M280" s="102">
        <v>0.6518</v>
      </c>
      <c r="N280" s="102">
        <v>0.6653</v>
      </c>
    </row>
    <row r="281" ht="15" spans="1:14">
      <c r="A281" s="98"/>
      <c r="B281" s="99">
        <v>9</v>
      </c>
      <c r="C281" s="100">
        <v>0.5048</v>
      </c>
      <c r="D281" s="101">
        <v>0.5387</v>
      </c>
      <c r="E281" s="101">
        <v>0.5654</v>
      </c>
      <c r="F281" s="100">
        <v>0.5655</v>
      </c>
      <c r="G281" s="102">
        <v>0.5944</v>
      </c>
      <c r="H281" s="102">
        <v>0.6141</v>
      </c>
      <c r="I281" s="102">
        <v>0.6096</v>
      </c>
      <c r="J281" s="102">
        <v>0.6334</v>
      </c>
      <c r="K281" s="102">
        <v>0.6484</v>
      </c>
      <c r="L281" s="102">
        <v>0.6422</v>
      </c>
      <c r="M281" s="102">
        <v>0.6627</v>
      </c>
      <c r="N281" s="102">
        <v>0.6733</v>
      </c>
    </row>
    <row r="282" ht="15" spans="1:14">
      <c r="A282" s="98"/>
      <c r="B282" s="99">
        <v>10</v>
      </c>
      <c r="C282" s="100">
        <v>0.5263</v>
      </c>
      <c r="D282" s="101">
        <v>0.5592</v>
      </c>
      <c r="E282" s="101">
        <v>0.5822</v>
      </c>
      <c r="F282" s="100">
        <v>0.5842</v>
      </c>
      <c r="G282" s="102">
        <v>0.6127</v>
      </c>
      <c r="H282" s="102">
        <v>0.6294</v>
      </c>
      <c r="I282" s="102">
        <v>0.6273</v>
      </c>
      <c r="J282" s="102">
        <v>0.6502</v>
      </c>
      <c r="K282" s="102">
        <v>0.6621</v>
      </c>
      <c r="L282" s="102">
        <v>0.6571</v>
      </c>
      <c r="M282" s="102">
        <v>0.6773</v>
      </c>
      <c r="N282" s="102">
        <v>0.6858</v>
      </c>
    </row>
    <row r="283" ht="15" spans="1:14">
      <c r="A283" s="98"/>
      <c r="B283" s="99">
        <v>11</v>
      </c>
      <c r="C283" s="100">
        <v>0.5634</v>
      </c>
      <c r="D283" s="101">
        <v>0.5952</v>
      </c>
      <c r="E283" s="101">
        <v>0.6188</v>
      </c>
      <c r="F283" s="100">
        <v>0.624</v>
      </c>
      <c r="G283" s="102">
        <v>0.6501</v>
      </c>
      <c r="H283" s="102">
        <v>0.6642</v>
      </c>
      <c r="I283" s="102">
        <v>0.6661</v>
      </c>
      <c r="J283" s="102">
        <v>0.6883</v>
      </c>
      <c r="K283" s="102">
        <v>0.6974</v>
      </c>
      <c r="L283" s="102">
        <v>0.6945</v>
      </c>
      <c r="M283" s="102">
        <v>0.7117</v>
      </c>
      <c r="N283" s="102">
        <v>0.7187</v>
      </c>
    </row>
    <row r="284" ht="15" spans="1:14">
      <c r="A284" s="98"/>
      <c r="B284" s="99">
        <v>12</v>
      </c>
      <c r="C284" s="100">
        <v>0.58</v>
      </c>
      <c r="D284" s="101">
        <v>0.6108</v>
      </c>
      <c r="E284" s="101">
        <v>0.6315</v>
      </c>
      <c r="F284" s="100">
        <v>0.6387</v>
      </c>
      <c r="G284" s="102">
        <v>0.6618</v>
      </c>
      <c r="H284" s="102">
        <v>0.6761</v>
      </c>
      <c r="I284" s="102">
        <v>0.6766</v>
      </c>
      <c r="J284" s="102">
        <v>0.6965</v>
      </c>
      <c r="K284" s="102">
        <v>0.7045</v>
      </c>
      <c r="L284" s="102">
        <v>0.7054</v>
      </c>
      <c r="M284" s="102">
        <v>0.72</v>
      </c>
      <c r="N284" s="102">
        <v>0.725</v>
      </c>
    </row>
    <row r="285" ht="15" spans="1:14">
      <c r="A285" s="98"/>
      <c r="B285" s="99">
        <v>13</v>
      </c>
      <c r="C285" s="100">
        <v>0.5902</v>
      </c>
      <c r="D285" s="101">
        <v>0.6187</v>
      </c>
      <c r="E285" s="101">
        <v>0.6374</v>
      </c>
      <c r="F285" s="100">
        <v>0.6452</v>
      </c>
      <c r="G285" s="102">
        <v>0.6662</v>
      </c>
      <c r="H285" s="102">
        <v>0.6805</v>
      </c>
      <c r="I285" s="102">
        <v>0.6825</v>
      </c>
      <c r="J285" s="102">
        <v>0.6997</v>
      </c>
      <c r="K285" s="102">
        <v>0.7053</v>
      </c>
      <c r="L285" s="102">
        <v>0.7095</v>
      </c>
      <c r="M285" s="102">
        <v>0.722</v>
      </c>
      <c r="N285" s="102">
        <v>0.7258</v>
      </c>
    </row>
    <row r="286" ht="15" spans="1:14">
      <c r="A286" s="98"/>
      <c r="B286" s="99">
        <v>14</v>
      </c>
      <c r="C286" s="100">
        <v>0.6031</v>
      </c>
      <c r="D286" s="101">
        <v>0.6296</v>
      </c>
      <c r="E286" s="101">
        <v>0.6464</v>
      </c>
      <c r="F286" s="100">
        <v>0.6561</v>
      </c>
      <c r="G286" s="102">
        <v>0.6743</v>
      </c>
      <c r="H286" s="102">
        <v>0.6856</v>
      </c>
      <c r="I286" s="102">
        <v>0.691</v>
      </c>
      <c r="J286" s="102">
        <v>0.7053</v>
      </c>
      <c r="K286" s="102">
        <v>0.7099</v>
      </c>
      <c r="L286" s="102">
        <v>0.716</v>
      </c>
      <c r="M286" s="102">
        <v>0.7258</v>
      </c>
      <c r="N286" s="102">
        <v>0.7276</v>
      </c>
    </row>
    <row r="287" ht="15" spans="1:14">
      <c r="A287" s="98"/>
      <c r="B287" s="99">
        <v>15</v>
      </c>
      <c r="C287" s="100">
        <v>0.6149</v>
      </c>
      <c r="D287" s="101">
        <v>0.6386</v>
      </c>
      <c r="E287" s="101">
        <v>0.6556</v>
      </c>
      <c r="F287" s="100">
        <v>0.6652</v>
      </c>
      <c r="G287" s="102">
        <v>0.6842</v>
      </c>
      <c r="H287" s="102">
        <v>0.6925</v>
      </c>
      <c r="I287" s="102">
        <v>0.6999</v>
      </c>
      <c r="J287" s="102">
        <v>0.7133</v>
      </c>
      <c r="K287" s="102">
        <v>0.7169</v>
      </c>
      <c r="L287" s="102">
        <v>0.7235</v>
      </c>
      <c r="M287" s="102">
        <v>0.7325</v>
      </c>
      <c r="N287" s="102">
        <v>0.7339</v>
      </c>
    </row>
    <row r="288" ht="15" spans="1:14">
      <c r="A288" s="98"/>
      <c r="B288" s="99">
        <v>16</v>
      </c>
      <c r="C288" s="100">
        <v>0.63</v>
      </c>
      <c r="D288" s="101">
        <v>0.6523</v>
      </c>
      <c r="E288" s="101">
        <v>0.6681</v>
      </c>
      <c r="F288" s="100">
        <v>0.6792</v>
      </c>
      <c r="G288" s="102">
        <v>0.6969</v>
      </c>
      <c r="H288" s="102">
        <v>0.7045</v>
      </c>
      <c r="I288" s="102">
        <v>0.7128</v>
      </c>
      <c r="J288" s="102">
        <v>0.7244</v>
      </c>
      <c r="K288" s="102">
        <v>0.7271</v>
      </c>
      <c r="L288" s="102">
        <v>0.7349</v>
      </c>
      <c r="M288" s="102">
        <v>0.7437</v>
      </c>
      <c r="N288" s="102">
        <v>0.7453</v>
      </c>
    </row>
    <row r="289" ht="15" spans="1:14">
      <c r="A289" s="98"/>
      <c r="B289" s="99">
        <v>17</v>
      </c>
      <c r="C289" s="100">
        <v>0.6396</v>
      </c>
      <c r="D289" s="101">
        <v>0.6619</v>
      </c>
      <c r="E289" s="101">
        <v>0.6765</v>
      </c>
      <c r="F289" s="100">
        <v>0.6874</v>
      </c>
      <c r="G289" s="102">
        <v>0.7018</v>
      </c>
      <c r="H289" s="102">
        <v>0.7105</v>
      </c>
      <c r="I289" s="102">
        <v>0.7196</v>
      </c>
      <c r="J289" s="102">
        <v>0.7298</v>
      </c>
      <c r="K289" s="102">
        <v>0.7311</v>
      </c>
      <c r="L289" s="102">
        <v>0.7415</v>
      </c>
      <c r="M289" s="102">
        <v>0.7482</v>
      </c>
      <c r="N289" s="102">
        <v>0.7508</v>
      </c>
    </row>
    <row r="290" ht="15" spans="1:14">
      <c r="A290" s="98"/>
      <c r="B290" s="99">
        <v>18</v>
      </c>
      <c r="C290" s="100">
        <v>0.6467</v>
      </c>
      <c r="D290" s="101">
        <v>0.6673</v>
      </c>
      <c r="E290" s="101">
        <v>0.6814</v>
      </c>
      <c r="F290" s="100">
        <v>0.695</v>
      </c>
      <c r="G290" s="102">
        <v>0.7084</v>
      </c>
      <c r="H290" s="102">
        <v>0.715</v>
      </c>
      <c r="I290" s="102">
        <v>0.7256</v>
      </c>
      <c r="J290" s="102">
        <v>0.7345</v>
      </c>
      <c r="K290" s="102">
        <v>0.7356</v>
      </c>
      <c r="L290" s="102">
        <v>0.7482</v>
      </c>
      <c r="M290" s="102">
        <v>0.7527</v>
      </c>
      <c r="N290" s="102">
        <v>0.7541</v>
      </c>
    </row>
    <row r="291" ht="15" spans="1:14">
      <c r="A291" s="98"/>
      <c r="B291" s="99">
        <v>19</v>
      </c>
      <c r="C291" s="100">
        <v>0.6557</v>
      </c>
      <c r="D291" s="101">
        <v>0.6744</v>
      </c>
      <c r="E291" s="101">
        <v>0.6875</v>
      </c>
      <c r="F291" s="100">
        <v>0.7023</v>
      </c>
      <c r="G291" s="102">
        <v>0.7141</v>
      </c>
      <c r="H291" s="102">
        <v>0.7192</v>
      </c>
      <c r="I291" s="102">
        <v>0.7348</v>
      </c>
      <c r="J291" s="102">
        <v>0.7381</v>
      </c>
      <c r="K291" s="102">
        <v>0.7388</v>
      </c>
      <c r="L291" s="102">
        <v>0.7515</v>
      </c>
      <c r="M291" s="102">
        <v>0.7565</v>
      </c>
      <c r="N291" s="102">
        <v>0.7602</v>
      </c>
    </row>
    <row r="292" ht="15" spans="1:14">
      <c r="A292" s="98"/>
      <c r="B292" s="99">
        <v>20</v>
      </c>
      <c r="C292" s="100">
        <v>0.663</v>
      </c>
      <c r="D292" s="101">
        <v>0.6812</v>
      </c>
      <c r="E292" s="101">
        <v>0.6927</v>
      </c>
      <c r="F292" s="100">
        <v>0.7077</v>
      </c>
      <c r="G292" s="102">
        <v>0.7185</v>
      </c>
      <c r="H292" s="102">
        <v>0.7226</v>
      </c>
      <c r="I292" s="102">
        <v>0.7356</v>
      </c>
      <c r="J292" s="102">
        <v>0.7417</v>
      </c>
      <c r="K292" s="102">
        <v>0.7436</v>
      </c>
      <c r="L292" s="102">
        <v>0.7557</v>
      </c>
      <c r="M292" s="102">
        <v>0.7607</v>
      </c>
      <c r="N292" s="102">
        <v>0.7674</v>
      </c>
    </row>
    <row r="293" ht="15" spans="1:14">
      <c r="A293" s="98"/>
      <c r="B293" s="99">
        <v>21</v>
      </c>
      <c r="C293" s="100">
        <v>0.6954</v>
      </c>
      <c r="D293" s="101">
        <v>0.7132</v>
      </c>
      <c r="E293" s="101">
        <v>0.7193</v>
      </c>
      <c r="F293" s="100">
        <v>0.7355</v>
      </c>
      <c r="G293" s="102">
        <v>0.7449</v>
      </c>
      <c r="H293" s="102">
        <v>0.7497</v>
      </c>
      <c r="I293" s="102">
        <v>0.7644</v>
      </c>
      <c r="J293" s="102">
        <v>0.7697</v>
      </c>
      <c r="K293" s="102">
        <v>0.7708</v>
      </c>
      <c r="L293" s="102">
        <v>0.7841</v>
      </c>
      <c r="M293" s="102">
        <v>0.7878</v>
      </c>
      <c r="N293" s="102">
        <v>0.7904</v>
      </c>
    </row>
    <row r="294" ht="15" spans="1:14">
      <c r="A294" s="98"/>
      <c r="B294" s="99">
        <v>22</v>
      </c>
      <c r="C294" s="100">
        <v>0.7013</v>
      </c>
      <c r="D294" s="101">
        <v>0.7156</v>
      </c>
      <c r="E294" s="101">
        <v>0.7228</v>
      </c>
      <c r="F294" s="100">
        <v>0.7425</v>
      </c>
      <c r="G294" s="102">
        <v>0.7505</v>
      </c>
      <c r="H294" s="102">
        <v>0.7541</v>
      </c>
      <c r="I294" s="102">
        <v>0.7682</v>
      </c>
      <c r="J294" s="102">
        <v>0.7731</v>
      </c>
      <c r="K294" s="102">
        <v>0.7729</v>
      </c>
      <c r="L294" s="102">
        <v>0.7868</v>
      </c>
      <c r="M294" s="102">
        <v>0.7893</v>
      </c>
      <c r="N294" s="102">
        <v>0.7932</v>
      </c>
    </row>
    <row r="295" ht="15" spans="1:14">
      <c r="A295" s="98"/>
      <c r="B295" s="99">
        <v>23</v>
      </c>
      <c r="C295" s="100">
        <v>0.7047</v>
      </c>
      <c r="D295" s="101">
        <v>0.7195</v>
      </c>
      <c r="E295" s="101">
        <v>0.7268</v>
      </c>
      <c r="F295" s="100">
        <v>0.7485</v>
      </c>
      <c r="G295" s="102">
        <v>0.7558</v>
      </c>
      <c r="H295" s="102">
        <v>0.7566</v>
      </c>
      <c r="I295" s="102">
        <v>0.775</v>
      </c>
      <c r="J295" s="102">
        <v>0.7779</v>
      </c>
      <c r="K295" s="102">
        <v>0.7753</v>
      </c>
      <c r="L295" s="102">
        <v>0.791</v>
      </c>
      <c r="M295" s="102">
        <v>0.7921</v>
      </c>
      <c r="N295" s="102">
        <v>0.7955</v>
      </c>
    </row>
    <row r="296" ht="15" spans="1:14">
      <c r="A296" s="98"/>
      <c r="B296" s="99">
        <v>24</v>
      </c>
      <c r="C296" s="100">
        <v>0.7123</v>
      </c>
      <c r="D296" s="101">
        <v>0.7267</v>
      </c>
      <c r="E296" s="101">
        <v>0.7308</v>
      </c>
      <c r="F296" s="100">
        <v>0.7489</v>
      </c>
      <c r="G296" s="102">
        <v>0.7576</v>
      </c>
      <c r="H296" s="102">
        <v>0.7588</v>
      </c>
      <c r="I296" s="102">
        <v>0.7765</v>
      </c>
      <c r="J296" s="102">
        <v>0.7796</v>
      </c>
      <c r="K296" s="102">
        <v>0.7777</v>
      </c>
      <c r="L296" s="102">
        <v>0.7933</v>
      </c>
      <c r="M296" s="102">
        <v>0.7989</v>
      </c>
      <c r="N296" s="102">
        <v>0.801</v>
      </c>
    </row>
    <row r="297" ht="15" spans="1:14">
      <c r="A297" s="98"/>
      <c r="B297" s="99">
        <v>25</v>
      </c>
      <c r="C297" s="100">
        <v>0.7154</v>
      </c>
      <c r="D297" s="101">
        <v>0.7269</v>
      </c>
      <c r="E297" s="101">
        <v>0.7349</v>
      </c>
      <c r="F297" s="100">
        <v>0.7555</v>
      </c>
      <c r="G297" s="102">
        <v>0.7608</v>
      </c>
      <c r="H297" s="102">
        <v>0.7607</v>
      </c>
      <c r="I297" s="102">
        <v>0.7796</v>
      </c>
      <c r="J297" s="102">
        <v>0.7804</v>
      </c>
      <c r="K297" s="102">
        <v>0.7789</v>
      </c>
      <c r="L297" s="102">
        <v>0.7947</v>
      </c>
      <c r="M297" s="102">
        <v>0.797</v>
      </c>
      <c r="N297" s="102">
        <v>0.8013</v>
      </c>
    </row>
  </sheetData>
  <mergeCells count="43">
    <mergeCell ref="A9:V9"/>
    <mergeCell ref="C11:E11"/>
    <mergeCell ref="F11:H11"/>
    <mergeCell ref="I11:K11"/>
    <mergeCell ref="L11:N11"/>
    <mergeCell ref="A14:A33"/>
    <mergeCell ref="A36:A55"/>
    <mergeCell ref="A58:A77"/>
    <mergeCell ref="A80:A99"/>
    <mergeCell ref="A102:A121"/>
    <mergeCell ref="A124:A143"/>
    <mergeCell ref="A146:A165"/>
    <mergeCell ref="A168:A187"/>
    <mergeCell ref="A190:A209"/>
    <mergeCell ref="A212:A231"/>
    <mergeCell ref="A234:A253"/>
    <mergeCell ref="A256:A275"/>
    <mergeCell ref="A278:A297"/>
    <mergeCell ref="B1:B2"/>
    <mergeCell ref="E3:E4"/>
    <mergeCell ref="E7:E8"/>
    <mergeCell ref="H1:H2"/>
    <mergeCell ref="H3:H4"/>
    <mergeCell ref="H5:H6"/>
    <mergeCell ref="H7:H8"/>
    <mergeCell ref="K1:K2"/>
    <mergeCell ref="K3:K4"/>
    <mergeCell ref="K5:K6"/>
    <mergeCell ref="K7:K8"/>
    <mergeCell ref="N1:N2"/>
    <mergeCell ref="N3:N4"/>
    <mergeCell ref="N5:N6"/>
    <mergeCell ref="N7:N8"/>
    <mergeCell ref="Q1:Q2"/>
    <mergeCell ref="Q3:Q4"/>
    <mergeCell ref="Q5:Q6"/>
    <mergeCell ref="Q7:Q8"/>
    <mergeCell ref="T1:T2"/>
    <mergeCell ref="T3:T4"/>
    <mergeCell ref="T5:T6"/>
    <mergeCell ref="T7:T8"/>
    <mergeCell ref="W3:W4"/>
    <mergeCell ref="W7:W8"/>
  </mergeCells>
  <pageMargins left="0.7" right="0.7" top="0.75" bottom="0.75" header="0.3" footer="0.3"/>
  <pageSetup paperSize="9" orientation="portrait"/>
  <headerFooter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8"/>
  <dimension ref="A1:AS297"/>
  <sheetViews>
    <sheetView zoomScale="70" zoomScaleNormal="70" workbookViewId="0">
      <pane xSplit="2" ySplit="13" topLeftCell="C354" activePane="bottomRight" state="frozen"/>
      <selection/>
      <selection pane="topRight"/>
      <selection pane="bottomLeft"/>
      <selection pane="bottomRight" activeCell="A11" sqref="A11:N372"/>
    </sheetView>
  </sheetViews>
  <sheetFormatPr defaultColWidth="8.77777777777778" defaultRowHeight="14.4"/>
  <cols>
    <col min="1" max="1" width="8.77777777777778" style="63" customWidth="1"/>
    <col min="2" max="2" width="38.1111111111111" style="63" customWidth="1"/>
    <col min="3" max="26" width="14.6666666666667" style="63" customWidth="1"/>
    <col min="27" max="27" width="12.8888888888889" style="63" customWidth="1"/>
    <col min="28" max="28" width="14.8888888888889" style="63" customWidth="1"/>
    <col min="29" max="29" width="15.4444444444444" style="63" customWidth="1"/>
    <col min="30" max="30" width="21" style="63" customWidth="1"/>
    <col min="31" max="16384" width="8.77777777777778" style="63"/>
  </cols>
  <sheetData>
    <row r="1" s="59" customFormat="1" ht="23.25" customHeight="1" spans="1:45">
      <c r="A1" s="64"/>
      <c r="B1" s="65">
        <f>A14</f>
        <v>0.65</v>
      </c>
      <c r="C1" s="66" t="s">
        <v>3115</v>
      </c>
      <c r="D1" s="66" t="s">
        <v>3008</v>
      </c>
      <c r="E1" s="66" t="s">
        <v>3116</v>
      </c>
      <c r="F1" s="66" t="s">
        <v>3117</v>
      </c>
      <c r="G1" s="67"/>
      <c r="H1" s="68">
        <f>A36</f>
        <v>0.6</v>
      </c>
      <c r="I1" s="66" t="s">
        <v>3117</v>
      </c>
      <c r="J1" s="67"/>
      <c r="K1" s="68">
        <f>A58</f>
        <v>0.55</v>
      </c>
      <c r="L1" s="66" t="s">
        <v>3117</v>
      </c>
      <c r="M1" s="67"/>
      <c r="N1" s="80">
        <f>A80</f>
        <v>0.5</v>
      </c>
      <c r="O1" s="66" t="s">
        <v>3117</v>
      </c>
      <c r="P1" s="67"/>
      <c r="Q1" s="80">
        <f>A102</f>
        <v>0.45</v>
      </c>
      <c r="R1" s="66" t="s">
        <v>3117</v>
      </c>
      <c r="S1" s="67"/>
      <c r="T1" s="80">
        <f>A124</f>
        <v>0.4</v>
      </c>
      <c r="U1" s="66" t="s">
        <v>3117</v>
      </c>
      <c r="V1" s="67"/>
      <c r="W1" s="67"/>
      <c r="X1" s="67"/>
      <c r="Y1" s="67"/>
      <c r="Z1" s="67"/>
      <c r="AA1" s="67"/>
      <c r="AB1" s="67"/>
      <c r="AC1" s="67"/>
      <c r="AD1" s="67"/>
      <c r="AE1" s="67"/>
      <c r="AF1" s="67"/>
      <c r="AG1" s="67"/>
      <c r="AH1" s="67"/>
      <c r="AI1" s="67"/>
      <c r="AJ1" s="67"/>
      <c r="AK1" s="67"/>
      <c r="AL1" s="67"/>
      <c r="AM1" s="67"/>
      <c r="AN1" s="67"/>
      <c r="AO1" s="67"/>
      <c r="AP1" s="67"/>
      <c r="AQ1" s="67"/>
      <c r="AR1" s="67"/>
      <c r="AS1" s="67"/>
    </row>
    <row r="2" s="60" customFormat="1" ht="28.5" customHeight="1" spans="1:45">
      <c r="A2" s="69"/>
      <c r="B2" s="70"/>
      <c r="C2" s="71" t="str">
        <f>IF(OR(亮度與BLU功耗!E16="",亮度與BLU功耗!E18=""),"",亮度與BLU功耗!E16&amp;"*"&amp;亮度與BLU功耗!E18)</f>
        <v>5*11</v>
      </c>
      <c r="D2" s="72">
        <f>亮度與BLU功耗!E21</f>
        <v>22</v>
      </c>
      <c r="E2" s="73" t="str">
        <f>C2</f>
        <v>5*11</v>
      </c>
      <c r="F2" s="73" t="e">
        <f>IF(OR(E2="",E2="Please Check The LED Series",D2="",D2=0),"Please Check LED or Current",INDEX(C14:N33,MATCH(D2,B14:B33,1),MATCH(E2,C13:N13,0)))</f>
        <v>#N/A</v>
      </c>
      <c r="G2" s="74"/>
      <c r="H2" s="75"/>
      <c r="I2" s="73" t="e">
        <f>IF(OR(E2="",E2="Please Check The LED Series",D2="",D2=0),"Please Check LED or Current",INDEX(C36:N55,MATCH(D2,B36:B55,1),MATCH(E2,C13:N13,0)))</f>
        <v>#N/A</v>
      </c>
      <c r="J2" s="74"/>
      <c r="K2" s="75"/>
      <c r="L2" s="73" t="e">
        <f>IF(OR(E2="",E2="Please Check The LED Series",D2="",D2=0),"Please Check LED or Current",INDEX(C58:N77,MATCH(D2,B58:B77,1),MATCH(E2,C13:N13,0)))</f>
        <v>#N/A</v>
      </c>
      <c r="M2" s="74"/>
      <c r="N2" s="75"/>
      <c r="O2" s="73" t="e">
        <f>IF(OR(E2="",E2="Please Check The LED Series",D2="",D2=0),"Please Check LED or Current",INDEX(C80:N99,MATCH(D2,B80:B99,1),MATCH(E2,C13:N13,0)))</f>
        <v>#N/A</v>
      </c>
      <c r="P2" s="74"/>
      <c r="Q2" s="75"/>
      <c r="R2" s="73" t="e">
        <f>IF(OR(E2="",E2="Please Check The LED Series",D2="",D2=0),"Please Check LED or Current",INDEX(C102:N121,MATCH(D2,B102:B121,1),MATCH(E2,C13:N13,0)))</f>
        <v>#N/A</v>
      </c>
      <c r="S2" s="74"/>
      <c r="T2" s="75"/>
      <c r="U2" s="73" t="e">
        <f>IF(OR(E2="",E2="Please Check The LED Series",D2="",D2=0),"Please Check LED or Current",INDEX(C124:N143,MATCH(D2,B124:B143,1),MATCH(E2,C13:N13,0)))</f>
        <v>#N/A</v>
      </c>
      <c r="V2" s="74"/>
      <c r="W2" s="74"/>
      <c r="X2" s="74"/>
      <c r="Y2" s="74"/>
      <c r="Z2" s="74"/>
      <c r="AA2" s="74"/>
      <c r="AB2" s="74"/>
      <c r="AC2" s="74"/>
      <c r="AD2" s="74"/>
      <c r="AE2" s="74"/>
      <c r="AF2" s="74"/>
      <c r="AG2" s="74"/>
      <c r="AH2" s="74"/>
      <c r="AI2" s="74"/>
      <c r="AJ2" s="74"/>
      <c r="AK2" s="74"/>
      <c r="AL2" s="74"/>
      <c r="AM2" s="74"/>
      <c r="AN2" s="74"/>
      <c r="AO2" s="74"/>
      <c r="AP2" s="74"/>
      <c r="AQ2" s="74"/>
      <c r="AR2" s="74"/>
      <c r="AS2" s="74"/>
    </row>
    <row r="3" s="61" customFormat="1" ht="28.5" customHeight="1" spans="1:42">
      <c r="A3" s="76"/>
      <c r="B3" s="77"/>
      <c r="C3" s="78"/>
      <c r="D3" s="79"/>
      <c r="E3" s="80">
        <f>A146</f>
        <v>0.35</v>
      </c>
      <c r="F3" s="66" t="s">
        <v>3117</v>
      </c>
      <c r="G3" s="81"/>
      <c r="H3" s="80">
        <f>A168</f>
        <v>0.3</v>
      </c>
      <c r="I3" s="66" t="s">
        <v>3117</v>
      </c>
      <c r="J3" s="81"/>
      <c r="K3" s="80">
        <f>A190</f>
        <v>0.25</v>
      </c>
      <c r="L3" s="66" t="s">
        <v>3117</v>
      </c>
      <c r="M3" s="81"/>
      <c r="N3" s="80">
        <f>A212</f>
        <v>0.2</v>
      </c>
      <c r="O3" s="66" t="s">
        <v>3117</v>
      </c>
      <c r="P3" s="81"/>
      <c r="Q3" s="80">
        <f>A234</f>
        <v>0.15</v>
      </c>
      <c r="R3" s="66" t="s">
        <v>3117</v>
      </c>
      <c r="S3" s="81"/>
      <c r="T3" s="80">
        <f>A256</f>
        <v>0.1</v>
      </c>
      <c r="U3" s="66" t="s">
        <v>3117</v>
      </c>
      <c r="V3" s="81"/>
      <c r="W3" s="80">
        <f>A278</f>
        <v>0.05</v>
      </c>
      <c r="X3" s="66" t="s">
        <v>3117</v>
      </c>
      <c r="Y3" s="81"/>
      <c r="Z3" s="81"/>
      <c r="AA3" s="81"/>
      <c r="AB3" s="81"/>
      <c r="AC3" s="81"/>
      <c r="AD3" s="81"/>
      <c r="AE3" s="81"/>
      <c r="AF3" s="81"/>
      <c r="AG3" s="81"/>
      <c r="AH3" s="81"/>
      <c r="AI3" s="81"/>
      <c r="AJ3" s="81"/>
      <c r="AK3" s="81"/>
      <c r="AL3" s="81"/>
      <c r="AM3" s="81"/>
      <c r="AN3" s="81"/>
      <c r="AO3" s="81"/>
      <c r="AP3" s="81"/>
    </row>
    <row r="4" s="61" customFormat="1" ht="28.5" customHeight="1" spans="1:42">
      <c r="A4" s="76"/>
      <c r="B4" s="77"/>
      <c r="C4" s="78"/>
      <c r="D4" s="79"/>
      <c r="E4" s="75"/>
      <c r="F4" s="73" t="e">
        <f>IF(OR(E2="",E2="Please Check The LED Series",D2="",D2=0),"Please Check LED or Current",INDEX(C146:N165,MATCH(D2,B146:B165,1),MATCH(E2,C13:N13,0)))</f>
        <v>#N/A</v>
      </c>
      <c r="G4" s="81"/>
      <c r="H4" s="75"/>
      <c r="I4" s="73" t="e">
        <f>IF(OR(E2="",E2="Please Check The LED Series",D2="",D2=0),"Please Check LED or Current",INDEX(C168:N187,MATCH(D2,B168:B187,1),MATCH(E2,C13:N13,0)))</f>
        <v>#N/A</v>
      </c>
      <c r="J4" s="81"/>
      <c r="K4" s="75"/>
      <c r="L4" s="73" t="e">
        <f>IF(OR(E2="",E2="Please Check The LED Series",D2="",D2=0),"Please Check LED or Current",INDEX(C190:N209,MATCH(D2,B190:B209,1),MATCH(E2,C13:N13,0)))</f>
        <v>#N/A</v>
      </c>
      <c r="M4" s="81"/>
      <c r="N4" s="75"/>
      <c r="O4" s="73" t="e">
        <f>IF(OR(E2="",E2="Please Check The LED Series",D2="",D2=0),"Please Check LED or Current",INDEX(C212:N231,MATCH(D2,B212:B231,1),MATCH(E2,C13:N13,0)))</f>
        <v>#N/A</v>
      </c>
      <c r="P4" s="81"/>
      <c r="Q4" s="75"/>
      <c r="R4" s="73" t="e">
        <f>IF(OR(E2="",E2="Please Check The LED Series",D2="",D2=0),"Please Check LED or Current",INDEX(C234:N253,MATCH(D2,B234:B253,1),MATCH(E2,C13:N13,0)))</f>
        <v>#N/A</v>
      </c>
      <c r="S4" s="81"/>
      <c r="T4" s="75"/>
      <c r="U4" s="73" t="e">
        <f>IF(OR(E2="",E2="Please Check The LED Series",D2="",D2=0),"Please Check LED or Current",INDEX(C256:N275,MATCH(D2,B256:B275,1),MATCH(E2,C13:N13,0)))</f>
        <v>#N/A</v>
      </c>
      <c r="V4" s="81"/>
      <c r="W4" s="75"/>
      <c r="X4" s="73" t="e">
        <f>IF(OR(E2="",E2="Please Check The LED Series",D2="",D2=0),"Please Check LED or Current",INDEX(C278:N297,MATCH(D2,B278:B297,1),MATCH(E2,C13:N13,0)))</f>
        <v>#N/A</v>
      </c>
      <c r="Y4" s="81"/>
      <c r="Z4" s="81"/>
      <c r="AA4" s="81"/>
      <c r="AB4" s="81"/>
      <c r="AC4" s="81"/>
      <c r="AD4" s="81"/>
      <c r="AE4" s="81"/>
      <c r="AF4" s="81"/>
      <c r="AG4" s="81"/>
      <c r="AH4" s="81"/>
      <c r="AI4" s="81"/>
      <c r="AJ4" s="81"/>
      <c r="AK4" s="81"/>
      <c r="AL4" s="81"/>
      <c r="AM4" s="81"/>
      <c r="AN4" s="81"/>
      <c r="AO4" s="81"/>
      <c r="AP4" s="81"/>
    </row>
    <row r="5" s="61" customFormat="1" ht="28.5" customHeight="1" spans="1:42">
      <c r="A5" s="76"/>
      <c r="B5" s="77"/>
      <c r="C5" s="66"/>
      <c r="D5" s="66" t="s">
        <v>3008</v>
      </c>
      <c r="E5" s="66" t="s">
        <v>3116</v>
      </c>
      <c r="F5" s="66" t="s">
        <v>3117</v>
      </c>
      <c r="G5" s="67"/>
      <c r="H5" s="68">
        <f>H1</f>
        <v>0.6</v>
      </c>
      <c r="I5" s="66" t="s">
        <v>3117</v>
      </c>
      <c r="J5" s="67"/>
      <c r="K5" s="68">
        <f>K1</f>
        <v>0.55</v>
      </c>
      <c r="L5" s="66" t="s">
        <v>3117</v>
      </c>
      <c r="M5" s="67"/>
      <c r="N5" s="80">
        <f>N1</f>
        <v>0.5</v>
      </c>
      <c r="O5" s="66" t="s">
        <v>3117</v>
      </c>
      <c r="P5" s="67"/>
      <c r="Q5" s="80">
        <f>Q1</f>
        <v>0.45</v>
      </c>
      <c r="R5" s="66" t="s">
        <v>3117</v>
      </c>
      <c r="S5" s="67"/>
      <c r="T5" s="80">
        <f>T1</f>
        <v>0.4</v>
      </c>
      <c r="U5" s="66" t="s">
        <v>3117</v>
      </c>
      <c r="V5" s="67"/>
      <c r="W5" s="67"/>
      <c r="X5" s="67"/>
      <c r="Y5" s="81"/>
      <c r="Z5" s="81"/>
      <c r="AA5" s="81"/>
      <c r="AB5" s="81"/>
      <c r="AC5" s="81"/>
      <c r="AD5" s="81"/>
      <c r="AE5" s="81"/>
      <c r="AF5" s="81"/>
      <c r="AG5" s="81"/>
      <c r="AH5" s="81"/>
      <c r="AI5" s="81"/>
      <c r="AJ5" s="81"/>
      <c r="AK5" s="81"/>
      <c r="AL5" s="81"/>
      <c r="AM5" s="81"/>
      <c r="AN5" s="81"/>
      <c r="AO5" s="81"/>
      <c r="AP5" s="81"/>
    </row>
    <row r="6" s="61" customFormat="1" ht="28.5" customHeight="1" spans="1:42">
      <c r="A6" s="76"/>
      <c r="B6" s="77"/>
      <c r="C6" s="82">
        <f>B1</f>
        <v>0.65</v>
      </c>
      <c r="D6" s="72">
        <f>D2</f>
        <v>22</v>
      </c>
      <c r="E6" s="73" t="str">
        <f>IF(OR(亮度與BLU功耗!E16="",亮度與BLU功耗!E18=""),"",亮度與BLU功耗!E17&amp;"*"&amp;亮度與BLU功耗!E18)</f>
        <v>3*11</v>
      </c>
      <c r="F6" s="73" t="e">
        <f>IF(OR(E2="",E2="Please Check The LED Series",D2="",D2=0),"Please Check LED or Current",INDEX(C14:N33,MATCH(D2,B14:B33,1),MATCH(E6,C13:N13,0)))</f>
        <v>#N/A</v>
      </c>
      <c r="G6" s="74"/>
      <c r="H6" s="75"/>
      <c r="I6" s="73" t="e">
        <f>IF(OR(E2="",E2="Please Check The LED Series",D2="",D2=0),"Please Check LED or Current",INDEX(C36:N55,MATCH(D2,B36:B55,1),MATCH(E6,C13:N13,0)))</f>
        <v>#N/A</v>
      </c>
      <c r="J6" s="74"/>
      <c r="K6" s="75"/>
      <c r="L6" s="73" t="e">
        <f>IF(OR(E2="",E2="Please Check The LED Series",D2="",D2=0),"Please Check LED or Current",INDEX(C58:N77,MATCH(D2,B58:B77,1),MATCH(E6,C13:N13,0)))</f>
        <v>#N/A</v>
      </c>
      <c r="M6" s="74"/>
      <c r="N6" s="75"/>
      <c r="O6" s="73" t="e">
        <f>IF(OR(E2="",E2="Please Check The LED Series",D2="",D2=0),"Please Check LED or Current",INDEX(C80:N99,MATCH(D2,B80:B99,1),MATCH(E6,C13:N13,0)))</f>
        <v>#N/A</v>
      </c>
      <c r="P6" s="74"/>
      <c r="Q6" s="75"/>
      <c r="R6" s="73" t="e">
        <f>IF(OR(E2="",E2="Please Check The LED Series",D2="",D2=0),"Please Check LED or Current",INDEX(C102:N121,MATCH(D2,B102:B121,1),MATCH(E6,C13:N13,0)))</f>
        <v>#N/A</v>
      </c>
      <c r="S6" s="74"/>
      <c r="T6" s="75"/>
      <c r="U6" s="73" t="e">
        <f>IF(OR(E2="",E2="Please Check The LED Series",D2="",D2=0),"Please Check LED or Current",INDEX(C124:N143,MATCH(D2,B124:B143,1),MATCH(E6,C13:N13,0)))</f>
        <v>#N/A</v>
      </c>
      <c r="V6" s="74"/>
      <c r="W6" s="74"/>
      <c r="X6" s="74"/>
      <c r="Y6" s="81"/>
      <c r="Z6" s="81"/>
      <c r="AA6" s="81"/>
      <c r="AB6" s="81"/>
      <c r="AC6" s="81"/>
      <c r="AD6" s="81"/>
      <c r="AE6" s="81"/>
      <c r="AF6" s="81"/>
      <c r="AG6" s="81"/>
      <c r="AH6" s="81"/>
      <c r="AI6" s="81"/>
      <c r="AJ6" s="81"/>
      <c r="AK6" s="81"/>
      <c r="AL6" s="81"/>
      <c r="AM6" s="81"/>
      <c r="AN6" s="81"/>
      <c r="AO6" s="81"/>
      <c r="AP6" s="81"/>
    </row>
    <row r="7" s="61" customFormat="1" ht="28.5" customHeight="1" spans="1:42">
      <c r="A7" s="76"/>
      <c r="B7" s="77"/>
      <c r="C7" s="78"/>
      <c r="D7" s="79"/>
      <c r="E7" s="80">
        <f>E3</f>
        <v>0.35</v>
      </c>
      <c r="F7" s="66" t="s">
        <v>3117</v>
      </c>
      <c r="G7" s="81"/>
      <c r="H7" s="80">
        <f>H3</f>
        <v>0.3</v>
      </c>
      <c r="I7" s="66" t="s">
        <v>3117</v>
      </c>
      <c r="J7" s="81"/>
      <c r="K7" s="80">
        <f>K3</f>
        <v>0.25</v>
      </c>
      <c r="L7" s="66" t="s">
        <v>3117</v>
      </c>
      <c r="M7" s="81"/>
      <c r="N7" s="80">
        <f>N3</f>
        <v>0.2</v>
      </c>
      <c r="O7" s="66" t="s">
        <v>3117</v>
      </c>
      <c r="P7" s="81"/>
      <c r="Q7" s="80">
        <f>Q3</f>
        <v>0.15</v>
      </c>
      <c r="R7" s="66" t="s">
        <v>3117</v>
      </c>
      <c r="S7" s="81"/>
      <c r="T7" s="80">
        <f>T3</f>
        <v>0.1</v>
      </c>
      <c r="U7" s="66" t="s">
        <v>3117</v>
      </c>
      <c r="V7" s="81"/>
      <c r="W7" s="80">
        <f>W3</f>
        <v>0.05</v>
      </c>
      <c r="X7" s="66" t="s">
        <v>3117</v>
      </c>
      <c r="Y7" s="81"/>
      <c r="Z7" s="81"/>
      <c r="AA7" s="81"/>
      <c r="AB7" s="81"/>
      <c r="AC7" s="81"/>
      <c r="AD7" s="81"/>
      <c r="AE7" s="81"/>
      <c r="AF7" s="81"/>
      <c r="AG7" s="81"/>
      <c r="AH7" s="81"/>
      <c r="AI7" s="81"/>
      <c r="AJ7" s="81"/>
      <c r="AK7" s="81"/>
      <c r="AL7" s="81"/>
      <c r="AM7" s="81"/>
      <c r="AN7" s="81"/>
      <c r="AO7" s="81"/>
      <c r="AP7" s="81"/>
    </row>
    <row r="8" s="61" customFormat="1" ht="28.5" customHeight="1" spans="1:42">
      <c r="A8" s="76"/>
      <c r="B8" s="77"/>
      <c r="C8" s="78"/>
      <c r="D8" s="79"/>
      <c r="E8" s="75"/>
      <c r="F8" s="73" t="e">
        <f>IF(OR(E2="",E2="Please Check The LED Series",D2="",D2=0),"Please Check LED or Current",INDEX(C146:N165,MATCH(D2,B146:B165,1),MATCH(E6,C13:N13,0)))</f>
        <v>#N/A</v>
      </c>
      <c r="G8" s="81"/>
      <c r="H8" s="75"/>
      <c r="I8" s="73" t="e">
        <f>IF(OR(E2="",E2="Please Check The LED Series",D2="",D2=0),"Please Check LED or Current",INDEX(C168:N187,MATCH(D2,B168:B187,1),MATCH(E6,C13:N13,0)))</f>
        <v>#N/A</v>
      </c>
      <c r="J8" s="81"/>
      <c r="K8" s="75"/>
      <c r="L8" s="73" t="e">
        <f>IF(OR(E2="",E2="Please Check The LED Series",D2="",D2=0),"Please Check LED or Current",INDEX(C190:N209,MATCH(D2,B190:B209,1),MATCH(E6,C13:N13,0)))</f>
        <v>#N/A</v>
      </c>
      <c r="M8" s="81"/>
      <c r="N8" s="75"/>
      <c r="O8" s="73" t="e">
        <f>IF(OR(E2="",E2="Please Check The LED Series",D2="",D2=0),"Please Check LED or Current",INDEX(C212:N231,MATCH(D2,B212:B231,1),MATCH(E6,C13:N13,0)))</f>
        <v>#N/A</v>
      </c>
      <c r="P8" s="81"/>
      <c r="Q8" s="75"/>
      <c r="R8" s="73" t="e">
        <f>IF(OR(E2="",E2="Please Check The LED Series",D2="",D2=0),"Please Check LED or Current",INDEX(C234:N253,MATCH(D2,B234:B253,1),MATCH(E6,C13:N13,0)))</f>
        <v>#N/A</v>
      </c>
      <c r="S8" s="81"/>
      <c r="T8" s="75"/>
      <c r="U8" s="73" t="e">
        <f>IF(OR(E2="",E2="Please Check The LED Series",D2="",D2=0),"Please Check LED or Current",INDEX(C256:N275,MATCH(D2,B256:B275,1),MATCH(E6,C13:N13,0)))</f>
        <v>#N/A</v>
      </c>
      <c r="V8" s="81"/>
      <c r="W8" s="75"/>
      <c r="X8" s="73" t="e">
        <f>IF(OR(E2="",E2="Please Check The LED Series",D2="",D2=0),"Please Check LED or Current",INDEX(C278:N297,MATCH(D2,B278:B297,1),MATCH(E6,C13:N13,0)))</f>
        <v>#N/A</v>
      </c>
      <c r="Y8" s="81"/>
      <c r="Z8" s="81"/>
      <c r="AA8" s="81"/>
      <c r="AB8" s="81"/>
      <c r="AC8" s="81"/>
      <c r="AD8" s="81"/>
      <c r="AE8" s="81"/>
      <c r="AF8" s="81"/>
      <c r="AG8" s="81"/>
      <c r="AH8" s="81"/>
      <c r="AI8" s="81"/>
      <c r="AJ8" s="81"/>
      <c r="AK8" s="81"/>
      <c r="AL8" s="81"/>
      <c r="AM8" s="81"/>
      <c r="AN8" s="81"/>
      <c r="AO8" s="81"/>
      <c r="AP8" s="81"/>
    </row>
    <row r="9" ht="39.75" customHeight="1" spans="1:22">
      <c r="A9" s="83" t="s">
        <v>3118</v>
      </c>
      <c r="B9" s="83"/>
      <c r="C9" s="83"/>
      <c r="D9" s="83"/>
      <c r="E9" s="83"/>
      <c r="F9" s="83"/>
      <c r="G9" s="83"/>
      <c r="H9" s="83"/>
      <c r="I9" s="83"/>
      <c r="J9" s="83"/>
      <c r="K9" s="83"/>
      <c r="L9" s="83"/>
      <c r="M9" s="83"/>
      <c r="N9" s="83"/>
      <c r="O9" s="83"/>
      <c r="P9" s="83"/>
      <c r="Q9" s="83"/>
      <c r="R9" s="83"/>
      <c r="S9" s="83"/>
      <c r="T9" s="83"/>
      <c r="U9" s="83"/>
      <c r="V9" s="83"/>
    </row>
    <row r="10" ht="8.25" customHeight="1" spans="1:22">
      <c r="A10" s="83"/>
      <c r="B10" s="84"/>
      <c r="C10" s="83"/>
      <c r="D10" s="83"/>
      <c r="E10" s="83"/>
      <c r="F10" s="83"/>
      <c r="G10" s="83"/>
      <c r="H10" s="83"/>
      <c r="I10" s="83"/>
      <c r="J10" s="83"/>
      <c r="K10" s="83"/>
      <c r="L10" s="83"/>
      <c r="M10" s="83"/>
      <c r="N10" s="83"/>
      <c r="O10" s="83"/>
      <c r="P10" s="83"/>
      <c r="Q10" s="83"/>
      <c r="R10" s="83"/>
      <c r="S10" s="83"/>
      <c r="T10" s="83"/>
      <c r="U10" s="83"/>
      <c r="V10" s="83"/>
    </row>
    <row r="11" ht="16.2" spans="2:14">
      <c r="B11" s="85" t="s">
        <v>3119</v>
      </c>
      <c r="C11" s="86">
        <v>3</v>
      </c>
      <c r="D11" s="87"/>
      <c r="E11" s="88"/>
      <c r="F11" s="89">
        <v>4</v>
      </c>
      <c r="G11" s="90"/>
      <c r="H11" s="91"/>
      <c r="I11" s="104">
        <v>5</v>
      </c>
      <c r="J11" s="105"/>
      <c r="K11" s="106"/>
      <c r="L11" s="107">
        <v>6</v>
      </c>
      <c r="M11" s="108"/>
      <c r="N11" s="109"/>
    </row>
    <row r="12" ht="16.2" spans="2:14">
      <c r="B12" s="92" t="s">
        <v>3120</v>
      </c>
      <c r="C12" s="93">
        <v>4</v>
      </c>
      <c r="D12" s="93">
        <v>5</v>
      </c>
      <c r="E12" s="93">
        <v>6</v>
      </c>
      <c r="F12" s="94">
        <v>4</v>
      </c>
      <c r="G12" s="94">
        <v>5</v>
      </c>
      <c r="H12" s="94">
        <v>6</v>
      </c>
      <c r="I12" s="110">
        <v>4</v>
      </c>
      <c r="J12" s="110">
        <v>5</v>
      </c>
      <c r="K12" s="110">
        <v>6</v>
      </c>
      <c r="L12" s="111">
        <v>4</v>
      </c>
      <c r="M12" s="111">
        <v>5</v>
      </c>
      <c r="N12" s="111">
        <v>6</v>
      </c>
    </row>
    <row r="13" ht="40.5" customHeight="1" spans="1:14">
      <c r="A13" s="95" t="s">
        <v>3121</v>
      </c>
      <c r="B13" s="96" t="s">
        <v>3122</v>
      </c>
      <c r="C13" s="97" t="s">
        <v>3147</v>
      </c>
      <c r="D13" s="97" t="s">
        <v>3148</v>
      </c>
      <c r="E13" s="97" t="s">
        <v>3149</v>
      </c>
      <c r="F13" s="97" t="s">
        <v>3150</v>
      </c>
      <c r="G13" s="97" t="s">
        <v>3151</v>
      </c>
      <c r="H13" s="97" t="s">
        <v>3152</v>
      </c>
      <c r="I13" s="97" t="s">
        <v>3153</v>
      </c>
      <c r="J13" s="97" t="s">
        <v>3154</v>
      </c>
      <c r="K13" s="97" t="s">
        <v>3155</v>
      </c>
      <c r="L13" s="97" t="s">
        <v>3156</v>
      </c>
      <c r="M13" s="97" t="s">
        <v>3157</v>
      </c>
      <c r="N13" s="97" t="s">
        <v>3158</v>
      </c>
    </row>
    <row r="14" s="62" customFormat="1" ht="15" spans="1:14">
      <c r="A14" s="98">
        <v>0.65</v>
      </c>
      <c r="B14" s="99">
        <v>6</v>
      </c>
      <c r="C14" s="100">
        <v>0.8301</v>
      </c>
      <c r="D14" s="101">
        <v>0.821</v>
      </c>
      <c r="E14" s="101">
        <v>0.8086</v>
      </c>
      <c r="F14" s="100">
        <v>0.8443</v>
      </c>
      <c r="G14" s="102">
        <v>0.8382</v>
      </c>
      <c r="H14" s="102">
        <v>0.8241</v>
      </c>
      <c r="I14" s="102">
        <v>0.862</v>
      </c>
      <c r="J14" s="102">
        <v>0.8463</v>
      </c>
      <c r="K14" s="102">
        <v>0.8306</v>
      </c>
      <c r="L14" s="102">
        <v>0.8682</v>
      </c>
      <c r="M14" s="102">
        <v>0.8527</v>
      </c>
      <c r="N14" s="102">
        <v>0.8359</v>
      </c>
    </row>
    <row r="15" s="62" customFormat="1" ht="15" spans="1:14">
      <c r="A15" s="98"/>
      <c r="B15" s="99">
        <v>7</v>
      </c>
      <c r="C15" s="100">
        <v>0.839</v>
      </c>
      <c r="D15" s="101">
        <v>0.8342</v>
      </c>
      <c r="E15" s="101">
        <v>0.8215</v>
      </c>
      <c r="F15" s="100">
        <v>0.8517</v>
      </c>
      <c r="G15" s="102">
        <v>0.8425</v>
      </c>
      <c r="H15" s="102">
        <v>0.826</v>
      </c>
      <c r="I15" s="102">
        <v>0.8664</v>
      </c>
      <c r="J15" s="102">
        <v>0.8475</v>
      </c>
      <c r="K15" s="102">
        <v>0.8315</v>
      </c>
      <c r="L15" s="102">
        <v>0.8692</v>
      </c>
      <c r="M15" s="102">
        <v>0.8526</v>
      </c>
      <c r="N15" s="102">
        <v>0.831</v>
      </c>
    </row>
    <row r="16" s="62" customFormat="1" ht="15" spans="1:14">
      <c r="A16" s="98"/>
      <c r="B16" s="99">
        <v>8</v>
      </c>
      <c r="C16" s="100">
        <v>0.8449</v>
      </c>
      <c r="D16" s="101">
        <v>0.8387</v>
      </c>
      <c r="E16" s="101">
        <v>0.8225</v>
      </c>
      <c r="F16" s="100">
        <v>0.8611</v>
      </c>
      <c r="G16" s="102">
        <v>0.8498</v>
      </c>
      <c r="H16" s="102">
        <v>0.8308</v>
      </c>
      <c r="I16" s="102">
        <v>0.8679</v>
      </c>
      <c r="J16" s="102">
        <v>0.852</v>
      </c>
      <c r="K16" s="102">
        <v>0.8303</v>
      </c>
      <c r="L16" s="102">
        <v>0.8759</v>
      </c>
      <c r="M16" s="102">
        <v>0.8535</v>
      </c>
      <c r="N16" s="102">
        <v>0.8258</v>
      </c>
    </row>
    <row r="17" s="62" customFormat="1" ht="15" spans="1:14">
      <c r="A17" s="98"/>
      <c r="B17" s="99">
        <v>9</v>
      </c>
      <c r="C17" s="100">
        <v>0.8502</v>
      </c>
      <c r="D17" s="101">
        <v>0.8438</v>
      </c>
      <c r="E17" s="101">
        <v>0.825</v>
      </c>
      <c r="F17" s="100">
        <v>0.8639</v>
      </c>
      <c r="G17" s="102">
        <v>0.851</v>
      </c>
      <c r="H17" s="102">
        <v>0.8334</v>
      </c>
      <c r="I17" s="102">
        <v>0.8735</v>
      </c>
      <c r="J17" s="102">
        <v>0.8479</v>
      </c>
      <c r="K17" s="102">
        <v>0.8215</v>
      </c>
      <c r="L17" s="102">
        <v>0.8747</v>
      </c>
      <c r="M17" s="102">
        <v>0.8485</v>
      </c>
      <c r="N17" s="102">
        <v>0.8129</v>
      </c>
    </row>
    <row r="18" s="62" customFormat="1" ht="15" spans="1:14">
      <c r="A18" s="98"/>
      <c r="B18" s="99">
        <v>10</v>
      </c>
      <c r="C18" s="100">
        <v>0.8595</v>
      </c>
      <c r="D18" s="101">
        <v>0.8456</v>
      </c>
      <c r="E18" s="101">
        <v>0.8293</v>
      </c>
      <c r="F18" s="100">
        <v>0.8667</v>
      </c>
      <c r="G18" s="102">
        <v>0.8496</v>
      </c>
      <c r="H18" s="102">
        <v>0.8251</v>
      </c>
      <c r="I18" s="102">
        <v>0.8734</v>
      </c>
      <c r="J18" s="102">
        <v>0.8481</v>
      </c>
      <c r="K18" s="102">
        <v>0.8168</v>
      </c>
      <c r="L18" s="102">
        <v>0.8691</v>
      </c>
      <c r="M18" s="102">
        <v>0.8434</v>
      </c>
      <c r="N18" s="102">
        <v>0.8093</v>
      </c>
    </row>
    <row r="19" s="62" customFormat="1" ht="15" spans="1:14">
      <c r="A19" s="98"/>
      <c r="B19" s="99">
        <v>11</v>
      </c>
      <c r="C19" s="100">
        <v>0.8669</v>
      </c>
      <c r="D19" s="101">
        <v>0.8454</v>
      </c>
      <c r="E19" s="101">
        <v>0.8275</v>
      </c>
      <c r="F19" s="100">
        <v>0.869</v>
      </c>
      <c r="G19" s="102">
        <v>0.8465</v>
      </c>
      <c r="H19" s="102">
        <v>0.8192</v>
      </c>
      <c r="I19" s="102">
        <v>0.8678</v>
      </c>
      <c r="J19" s="102">
        <v>0.8403</v>
      </c>
      <c r="K19" s="102">
        <v>0.8119</v>
      </c>
      <c r="L19" s="102">
        <v>0.8671</v>
      </c>
      <c r="M19" s="102">
        <v>0.8367</v>
      </c>
      <c r="N19" s="102">
        <v>0.8096</v>
      </c>
    </row>
    <row r="20" s="62" customFormat="1" ht="15" spans="1:14">
      <c r="A20" s="98"/>
      <c r="B20" s="99">
        <v>12</v>
      </c>
      <c r="C20" s="100">
        <v>0.8641</v>
      </c>
      <c r="D20" s="101">
        <v>0.8458</v>
      </c>
      <c r="E20" s="101">
        <v>0.8235</v>
      </c>
      <c r="F20" s="100">
        <v>0.8697</v>
      </c>
      <c r="G20" s="102">
        <v>0.8438</v>
      </c>
      <c r="H20" s="102">
        <v>0.8108</v>
      </c>
      <c r="I20" s="102">
        <v>0.8663</v>
      </c>
      <c r="J20" s="102">
        <v>0.8401</v>
      </c>
      <c r="K20" s="102">
        <v>0.8106</v>
      </c>
      <c r="L20" s="102">
        <v>0.8632</v>
      </c>
      <c r="M20" s="102">
        <v>0.8381</v>
      </c>
      <c r="N20" s="102">
        <v>0.818</v>
      </c>
    </row>
    <row r="21" s="62" customFormat="1" ht="15" spans="1:14">
      <c r="A21" s="98"/>
      <c r="B21" s="99">
        <v>13</v>
      </c>
      <c r="C21" s="100">
        <v>0.8719</v>
      </c>
      <c r="D21" s="101">
        <v>0.8532</v>
      </c>
      <c r="E21" s="101">
        <v>0.8354</v>
      </c>
      <c r="F21" s="100">
        <v>0.8751</v>
      </c>
      <c r="G21" s="102">
        <v>0.8535</v>
      </c>
      <c r="H21" s="102">
        <v>0.8375</v>
      </c>
      <c r="I21" s="102">
        <v>0.8794</v>
      </c>
      <c r="J21" s="102">
        <v>0.8545</v>
      </c>
      <c r="K21" s="102">
        <v>0.7962</v>
      </c>
      <c r="L21" s="102">
        <v>0.8682</v>
      </c>
      <c r="M21" s="102">
        <v>0.822</v>
      </c>
      <c r="N21" s="102">
        <v>0.7883</v>
      </c>
    </row>
    <row r="22" s="62" customFormat="1" ht="15" spans="1:14">
      <c r="A22" s="98"/>
      <c r="B22" s="99">
        <v>14</v>
      </c>
      <c r="C22" s="100">
        <v>0.9394</v>
      </c>
      <c r="D22" s="101">
        <v>0.8546</v>
      </c>
      <c r="E22" s="101">
        <v>0.8265</v>
      </c>
      <c r="F22" s="100">
        <v>0.8767</v>
      </c>
      <c r="G22" s="102">
        <v>0.8403</v>
      </c>
      <c r="H22" s="102">
        <v>0.8397</v>
      </c>
      <c r="I22" s="102">
        <v>0.8739</v>
      </c>
      <c r="J22" s="102">
        <v>0.8331</v>
      </c>
      <c r="K22" s="102">
        <v>0.7939</v>
      </c>
      <c r="L22" s="102">
        <v>0.8636</v>
      </c>
      <c r="M22" s="102">
        <v>0.8219</v>
      </c>
      <c r="N22" s="102">
        <v>0.7974</v>
      </c>
    </row>
    <row r="23" s="62" customFormat="1" ht="15" spans="1:14">
      <c r="A23" s="98"/>
      <c r="B23" s="99">
        <v>15</v>
      </c>
      <c r="C23" s="100">
        <v>0.8758</v>
      </c>
      <c r="D23" s="101">
        <v>0.855</v>
      </c>
      <c r="E23" s="101">
        <v>0.8262</v>
      </c>
      <c r="F23" s="100">
        <v>0.8771</v>
      </c>
      <c r="G23" s="102">
        <v>0.8484</v>
      </c>
      <c r="H23" s="102">
        <v>0.8421</v>
      </c>
      <c r="I23" s="102">
        <v>0.8691</v>
      </c>
      <c r="J23" s="102">
        <v>0.8294</v>
      </c>
      <c r="K23" s="102">
        <v>0.8016</v>
      </c>
      <c r="L23" s="102">
        <v>0.8553</v>
      </c>
      <c r="M23" s="102">
        <v>0.817</v>
      </c>
      <c r="N23" s="102">
        <v>0.805</v>
      </c>
    </row>
    <row r="24" s="62" customFormat="1" ht="15" spans="1:14">
      <c r="A24" s="98"/>
      <c r="B24" s="99">
        <v>16</v>
      </c>
      <c r="C24" s="100">
        <v>0.879</v>
      </c>
      <c r="D24" s="101">
        <v>0.8498</v>
      </c>
      <c r="E24" s="101">
        <v>0.8343</v>
      </c>
      <c r="F24" s="100">
        <v>0.8722</v>
      </c>
      <c r="G24" s="102">
        <v>0.8545</v>
      </c>
      <c r="H24" s="102">
        <v>0.8495</v>
      </c>
      <c r="I24" s="102">
        <v>0.8605</v>
      </c>
      <c r="J24" s="102">
        <v>0.826</v>
      </c>
      <c r="K24" s="102">
        <v>0.7984</v>
      </c>
      <c r="L24" s="102">
        <v>0.8474</v>
      </c>
      <c r="M24" s="102">
        <v>0.8192</v>
      </c>
      <c r="N24" s="102">
        <v>0.7909</v>
      </c>
    </row>
    <row r="25" s="62" customFormat="1" ht="15" spans="1:14">
      <c r="A25" s="98"/>
      <c r="B25" s="99">
        <v>17</v>
      </c>
      <c r="C25" s="100">
        <v>0.8751</v>
      </c>
      <c r="D25" s="101">
        <v>0.8422</v>
      </c>
      <c r="E25" s="101">
        <v>0.8398</v>
      </c>
      <c r="F25" s="100">
        <v>0.8645</v>
      </c>
      <c r="G25" s="102">
        <v>0.8558</v>
      </c>
      <c r="H25" s="102">
        <v>0.8267</v>
      </c>
      <c r="I25" s="102">
        <v>0.8584</v>
      </c>
      <c r="J25" s="102">
        <v>0.8202</v>
      </c>
      <c r="K25" s="102">
        <v>0.7997</v>
      </c>
      <c r="L25" s="102">
        <v>0.8442</v>
      </c>
      <c r="M25" s="102">
        <v>0.8218</v>
      </c>
      <c r="N25" s="102">
        <v>0.7915</v>
      </c>
    </row>
    <row r="26" s="62" customFormat="1" ht="15" spans="1:14">
      <c r="A26" s="98"/>
      <c r="B26" s="99">
        <v>18</v>
      </c>
      <c r="C26" s="100">
        <v>0.8803</v>
      </c>
      <c r="D26" s="101">
        <v>0.8418</v>
      </c>
      <c r="E26" s="101">
        <v>0.8431</v>
      </c>
      <c r="F26" s="100">
        <v>0.8661</v>
      </c>
      <c r="G26" s="102">
        <v>0.8606</v>
      </c>
      <c r="H26" s="102">
        <v>0.8507</v>
      </c>
      <c r="I26" s="102">
        <v>0.8518</v>
      </c>
      <c r="J26" s="102">
        <v>0.8247</v>
      </c>
      <c r="K26" s="102">
        <v>0.7999</v>
      </c>
      <c r="L26" s="102">
        <v>0.8423</v>
      </c>
      <c r="M26" s="102">
        <v>0.8181</v>
      </c>
      <c r="N26" s="102">
        <v>0.7953</v>
      </c>
    </row>
    <row r="27" s="62" customFormat="1" ht="15" spans="1:14">
      <c r="A27" s="98"/>
      <c r="B27" s="99">
        <v>19</v>
      </c>
      <c r="C27" s="100">
        <v>0.8737</v>
      </c>
      <c r="D27" s="101">
        <v>0.8462</v>
      </c>
      <c r="E27" s="101">
        <v>0.8466</v>
      </c>
      <c r="F27" s="100">
        <v>0.8583</v>
      </c>
      <c r="G27" s="102">
        <v>0.8635</v>
      </c>
      <c r="H27" s="102">
        <v>0.8604</v>
      </c>
      <c r="I27" s="102">
        <v>0.8505</v>
      </c>
      <c r="J27" s="102">
        <v>0.819</v>
      </c>
      <c r="K27" s="102">
        <v>0.8087</v>
      </c>
      <c r="L27" s="102">
        <v>0.8439</v>
      </c>
      <c r="M27" s="102">
        <v>0.8205</v>
      </c>
      <c r="N27" s="102">
        <v>0.8008</v>
      </c>
    </row>
    <row r="28" s="62" customFormat="1" ht="15" spans="1:14">
      <c r="A28" s="98"/>
      <c r="B28" s="99">
        <v>20</v>
      </c>
      <c r="C28" s="100">
        <v>0.8678</v>
      </c>
      <c r="D28" s="101">
        <v>0.8491</v>
      </c>
      <c r="E28" s="101">
        <v>0.8524</v>
      </c>
      <c r="F28" s="100">
        <v>0.8526</v>
      </c>
      <c r="G28" s="102">
        <v>0.8645</v>
      </c>
      <c r="H28" s="102">
        <v>0.8661</v>
      </c>
      <c r="I28" s="102">
        <v>0.8476</v>
      </c>
      <c r="J28" s="102">
        <v>0.8205</v>
      </c>
      <c r="K28" s="102">
        <v>0.7988</v>
      </c>
      <c r="L28" s="102">
        <v>0.8441</v>
      </c>
      <c r="M28" s="102">
        <v>0.8232</v>
      </c>
      <c r="N28" s="102">
        <v>0.8038</v>
      </c>
    </row>
    <row r="29" s="62" customFormat="1" ht="15" spans="1:14">
      <c r="A29" s="98"/>
      <c r="B29" s="99">
        <v>21</v>
      </c>
      <c r="C29" s="100">
        <v>0.8642</v>
      </c>
      <c r="D29" s="101">
        <v>0.8541</v>
      </c>
      <c r="E29" s="101">
        <v>0.8539</v>
      </c>
      <c r="F29" s="100">
        <v>0.8526</v>
      </c>
      <c r="G29" s="102">
        <v>0.8702</v>
      </c>
      <c r="H29" s="102">
        <v>0.8119</v>
      </c>
      <c r="I29" s="102">
        <v>0.8448</v>
      </c>
      <c r="J29" s="102">
        <v>0.8208</v>
      </c>
      <c r="K29" s="102">
        <v>0.798</v>
      </c>
      <c r="L29" s="102">
        <v>0.8478</v>
      </c>
      <c r="M29" s="102">
        <v>0.8293</v>
      </c>
      <c r="N29" s="102">
        <v>0.8068</v>
      </c>
    </row>
    <row r="30" s="62" customFormat="1" ht="15" spans="1:14">
      <c r="A30" s="98"/>
      <c r="B30" s="99">
        <v>22</v>
      </c>
      <c r="C30" s="100">
        <v>0.8632</v>
      </c>
      <c r="D30" s="101">
        <v>0.8555</v>
      </c>
      <c r="E30" s="101">
        <v>0.8118</v>
      </c>
      <c r="F30" s="100">
        <v>0.849</v>
      </c>
      <c r="G30" s="102">
        <v>0.8791</v>
      </c>
      <c r="H30" s="102">
        <v>0.8134</v>
      </c>
      <c r="I30" s="102">
        <v>0.849</v>
      </c>
      <c r="J30" s="102">
        <v>0.8243</v>
      </c>
      <c r="K30" s="102">
        <v>0.8058</v>
      </c>
      <c r="L30" s="102">
        <v>0.8548</v>
      </c>
      <c r="M30" s="102">
        <v>0.8393</v>
      </c>
      <c r="N30" s="102">
        <v>0.818</v>
      </c>
    </row>
    <row r="31" s="62" customFormat="1" ht="15" spans="1:14">
      <c r="A31" s="98"/>
      <c r="B31" s="99">
        <v>23</v>
      </c>
      <c r="C31" s="100">
        <v>0.8602</v>
      </c>
      <c r="D31" s="101">
        <v>0.8625</v>
      </c>
      <c r="E31" s="101">
        <v>0.8125</v>
      </c>
      <c r="F31" s="100">
        <v>0.8475</v>
      </c>
      <c r="G31" s="102">
        <v>0.8891</v>
      </c>
      <c r="H31" s="102">
        <v>0.8089</v>
      </c>
      <c r="I31" s="102">
        <v>0.8494</v>
      </c>
      <c r="J31" s="102">
        <v>0.8283</v>
      </c>
      <c r="K31" s="102">
        <v>0.8143</v>
      </c>
      <c r="L31" s="102">
        <v>0.8616</v>
      </c>
      <c r="M31" s="102">
        <v>0.84</v>
      </c>
      <c r="N31" s="102">
        <v>0.8133</v>
      </c>
    </row>
    <row r="32" s="62" customFormat="1" ht="15" spans="1:14">
      <c r="A32" s="98"/>
      <c r="B32" s="99">
        <v>24</v>
      </c>
      <c r="C32" s="100">
        <v>0.8572</v>
      </c>
      <c r="D32" s="101">
        <v>0.865</v>
      </c>
      <c r="E32" s="101">
        <v>0.8676</v>
      </c>
      <c r="F32" s="100">
        <v>0.8515</v>
      </c>
      <c r="G32" s="102">
        <v>0.8871</v>
      </c>
      <c r="H32" s="102">
        <v>0.8141</v>
      </c>
      <c r="I32" s="102">
        <v>0.8515</v>
      </c>
      <c r="J32" s="102">
        <v>0.8335</v>
      </c>
      <c r="K32" s="102">
        <v>0.8209</v>
      </c>
      <c r="L32" s="102">
        <v>0.8674</v>
      </c>
      <c r="M32" s="102">
        <v>0.8474</v>
      </c>
      <c r="N32" s="102">
        <v>0.8169</v>
      </c>
    </row>
    <row r="33" s="62" customFormat="1" ht="15" spans="1:14">
      <c r="A33" s="98"/>
      <c r="B33" s="99">
        <v>25</v>
      </c>
      <c r="C33" s="100">
        <v>0.8548</v>
      </c>
      <c r="D33" s="101">
        <v>0.8667</v>
      </c>
      <c r="E33" s="101">
        <v>0.8702</v>
      </c>
      <c r="F33" s="100">
        <v>0.8493</v>
      </c>
      <c r="G33" s="102">
        <v>0.8834</v>
      </c>
      <c r="H33" s="102">
        <v>0.8131</v>
      </c>
      <c r="I33" s="102">
        <v>0.8541</v>
      </c>
      <c r="J33" s="102">
        <v>0.8399</v>
      </c>
      <c r="K33" s="102">
        <v>0.8171</v>
      </c>
      <c r="L33" s="102">
        <v>0.8653</v>
      </c>
      <c r="M33" s="102">
        <v>0.8565</v>
      </c>
      <c r="N33" s="102">
        <v>0.8207</v>
      </c>
    </row>
    <row r="35" ht="16.2" spans="2:2">
      <c r="B35" s="84"/>
    </row>
    <row r="36" s="62" customFormat="1" ht="15" spans="1:14">
      <c r="A36" s="103">
        <v>0.6</v>
      </c>
      <c r="B36" s="99">
        <v>6</v>
      </c>
      <c r="C36" s="100">
        <v>0.8245</v>
      </c>
      <c r="D36" s="101">
        <v>0.8155</v>
      </c>
      <c r="E36" s="101">
        <v>0.8059</v>
      </c>
      <c r="F36" s="100">
        <v>0.8431</v>
      </c>
      <c r="G36" s="102">
        <v>0.831</v>
      </c>
      <c r="H36" s="102">
        <v>0.8252</v>
      </c>
      <c r="I36" s="102">
        <v>0.8541</v>
      </c>
      <c r="J36" s="102">
        <v>0.8459</v>
      </c>
      <c r="K36" s="102">
        <v>0.828</v>
      </c>
      <c r="L36" s="102">
        <v>0.8674</v>
      </c>
      <c r="M36" s="102">
        <v>0.8523</v>
      </c>
      <c r="N36" s="102">
        <v>0.8335</v>
      </c>
    </row>
    <row r="37" s="62" customFormat="1" ht="15" spans="1:14">
      <c r="A37" s="103"/>
      <c r="B37" s="99">
        <v>7</v>
      </c>
      <c r="C37" s="100">
        <v>0.833</v>
      </c>
      <c r="D37" s="101">
        <v>0.8235</v>
      </c>
      <c r="E37" s="101">
        <v>0.8164</v>
      </c>
      <c r="F37" s="100">
        <v>0.8522</v>
      </c>
      <c r="G37" s="102">
        <v>0.8409</v>
      </c>
      <c r="H37" s="102">
        <v>0.8265</v>
      </c>
      <c r="I37" s="102">
        <v>0.8649</v>
      </c>
      <c r="J37" s="102">
        <v>0.8495</v>
      </c>
      <c r="K37" s="102">
        <v>0.8307</v>
      </c>
      <c r="L37" s="102">
        <v>0.8684</v>
      </c>
      <c r="M37" s="102">
        <v>0.8519</v>
      </c>
      <c r="N37" s="102">
        <v>0.834</v>
      </c>
    </row>
    <row r="38" s="62" customFormat="1" ht="15" spans="1:14">
      <c r="A38" s="103"/>
      <c r="B38" s="99">
        <v>8</v>
      </c>
      <c r="C38" s="100">
        <v>0.8395</v>
      </c>
      <c r="D38" s="101">
        <v>0.8292</v>
      </c>
      <c r="E38" s="101">
        <v>0.8225</v>
      </c>
      <c r="F38" s="100">
        <v>0.8562</v>
      </c>
      <c r="G38" s="102">
        <v>0.8456</v>
      </c>
      <c r="H38" s="102">
        <v>0.8288</v>
      </c>
      <c r="I38" s="102">
        <v>0.8656</v>
      </c>
      <c r="J38" s="102">
        <v>0.8513</v>
      </c>
      <c r="K38" s="102">
        <v>0.8345</v>
      </c>
      <c r="L38" s="102">
        <v>0.8696</v>
      </c>
      <c r="M38" s="102">
        <v>0.8541</v>
      </c>
      <c r="N38" s="102">
        <v>0.8314</v>
      </c>
    </row>
    <row r="39" s="62" customFormat="1" ht="15" spans="1:14">
      <c r="A39" s="103"/>
      <c r="B39" s="99">
        <v>9</v>
      </c>
      <c r="C39" s="100">
        <v>0.8449</v>
      </c>
      <c r="D39" s="101">
        <v>0.8369</v>
      </c>
      <c r="E39" s="101">
        <v>0.8268</v>
      </c>
      <c r="F39" s="100">
        <v>0.8663</v>
      </c>
      <c r="G39" s="102">
        <v>0.8465</v>
      </c>
      <c r="H39" s="102">
        <v>0.8336</v>
      </c>
      <c r="I39" s="102">
        <v>0.8713</v>
      </c>
      <c r="J39" s="102">
        <v>0.8534</v>
      </c>
      <c r="K39" s="102">
        <v>0.8281</v>
      </c>
      <c r="L39" s="102">
        <v>0.8742</v>
      </c>
      <c r="M39" s="102">
        <v>0.852</v>
      </c>
      <c r="N39" s="102">
        <v>0.8223</v>
      </c>
    </row>
    <row r="40" s="62" customFormat="1" ht="15" spans="1:14">
      <c r="A40" s="103"/>
      <c r="B40" s="99">
        <v>10</v>
      </c>
      <c r="C40" s="100">
        <v>0.8499</v>
      </c>
      <c r="D40" s="101">
        <v>0.8408</v>
      </c>
      <c r="E40" s="101">
        <v>0.8278</v>
      </c>
      <c r="F40" s="100">
        <v>0.8685</v>
      </c>
      <c r="G40" s="102">
        <v>0.8517</v>
      </c>
      <c r="H40" s="102">
        <v>0.8305</v>
      </c>
      <c r="I40" s="102">
        <v>0.8732</v>
      </c>
      <c r="J40" s="102">
        <v>0.8518</v>
      </c>
      <c r="K40" s="102">
        <v>0.8241</v>
      </c>
      <c r="L40" s="102">
        <v>0.8745</v>
      </c>
      <c r="M40" s="102">
        <v>0.8483</v>
      </c>
      <c r="N40" s="102">
        <v>0.8161</v>
      </c>
    </row>
    <row r="41" s="62" customFormat="1" ht="15" spans="1:14">
      <c r="A41" s="103"/>
      <c r="B41" s="99">
        <v>11</v>
      </c>
      <c r="C41" s="100">
        <v>0.8609</v>
      </c>
      <c r="D41" s="101">
        <v>0.8457</v>
      </c>
      <c r="E41" s="101">
        <v>0.8296</v>
      </c>
      <c r="F41" s="100">
        <v>0.8692</v>
      </c>
      <c r="G41" s="102">
        <v>0.8464</v>
      </c>
      <c r="H41" s="102">
        <v>0.8276</v>
      </c>
      <c r="I41" s="102">
        <v>0.8777</v>
      </c>
      <c r="J41" s="102">
        <v>0.8489</v>
      </c>
      <c r="K41" s="102">
        <v>0.8154</v>
      </c>
      <c r="L41" s="102">
        <v>0.8714</v>
      </c>
      <c r="M41" s="102">
        <v>0.8393</v>
      </c>
      <c r="N41" s="102">
        <v>0.809</v>
      </c>
    </row>
    <row r="42" s="62" customFormat="1" ht="15" spans="1:14">
      <c r="A42" s="103"/>
      <c r="B42" s="99">
        <v>12</v>
      </c>
      <c r="C42" s="100">
        <v>0.8622</v>
      </c>
      <c r="D42" s="101">
        <v>0.8472</v>
      </c>
      <c r="E42" s="101">
        <v>0.8282</v>
      </c>
      <c r="F42" s="100">
        <v>0.8723</v>
      </c>
      <c r="G42" s="102">
        <v>0.8488</v>
      </c>
      <c r="H42" s="102">
        <v>0.8186</v>
      </c>
      <c r="I42" s="102">
        <v>0.8673</v>
      </c>
      <c r="J42" s="102">
        <v>0.8419</v>
      </c>
      <c r="K42" s="102">
        <v>0.8125</v>
      </c>
      <c r="L42" s="102">
        <v>0.8669</v>
      </c>
      <c r="M42" s="102">
        <v>0.84</v>
      </c>
      <c r="N42" s="102">
        <v>0.8142</v>
      </c>
    </row>
    <row r="43" s="62" customFormat="1" ht="15" spans="1:14">
      <c r="A43" s="103"/>
      <c r="B43" s="99">
        <v>13</v>
      </c>
      <c r="C43" s="100">
        <v>0.8671</v>
      </c>
      <c r="D43" s="101">
        <v>0.8509</v>
      </c>
      <c r="E43" s="101">
        <v>0.8356</v>
      </c>
      <c r="F43" s="100">
        <v>0.8805</v>
      </c>
      <c r="G43" s="102">
        <v>0.8583</v>
      </c>
      <c r="H43" s="102">
        <v>0.8282</v>
      </c>
      <c r="I43" s="102">
        <v>0.8792</v>
      </c>
      <c r="J43" s="102">
        <v>0.8468</v>
      </c>
      <c r="K43" s="102">
        <v>0.8113</v>
      </c>
      <c r="L43" s="102">
        <v>0.8716</v>
      </c>
      <c r="M43" s="102">
        <v>0.83</v>
      </c>
      <c r="N43" s="102">
        <v>0.7953</v>
      </c>
    </row>
    <row r="44" s="62" customFormat="1" ht="15" spans="1:14">
      <c r="A44" s="103"/>
      <c r="B44" s="99">
        <v>14</v>
      </c>
      <c r="C44" s="100">
        <v>0.8696</v>
      </c>
      <c r="D44" s="101">
        <v>0.851</v>
      </c>
      <c r="E44" s="101">
        <v>0.8354</v>
      </c>
      <c r="F44" s="100">
        <v>0.8803</v>
      </c>
      <c r="G44" s="102">
        <v>0.8555</v>
      </c>
      <c r="H44" s="102">
        <v>0.8369</v>
      </c>
      <c r="I44" s="102">
        <v>0.8819</v>
      </c>
      <c r="J44" s="102">
        <v>0.8515</v>
      </c>
      <c r="K44" s="102">
        <v>0.8011</v>
      </c>
      <c r="L44" s="102">
        <v>0.8722</v>
      </c>
      <c r="M44" s="102">
        <v>0.8271</v>
      </c>
      <c r="N44" s="102">
        <v>0.7919</v>
      </c>
    </row>
    <row r="45" s="62" customFormat="1" ht="15" spans="1:14">
      <c r="A45" s="103"/>
      <c r="B45" s="99">
        <v>15</v>
      </c>
      <c r="C45" s="100">
        <v>0.8735</v>
      </c>
      <c r="D45" s="101">
        <v>0.857</v>
      </c>
      <c r="E45" s="101">
        <v>0.8302</v>
      </c>
      <c r="F45" s="100">
        <v>0.8791</v>
      </c>
      <c r="G45" s="102">
        <v>0.841</v>
      </c>
      <c r="H45" s="102">
        <v>0.8395</v>
      </c>
      <c r="I45" s="102">
        <v>0.8739</v>
      </c>
      <c r="J45" s="102">
        <v>0.8375</v>
      </c>
      <c r="K45" s="102">
        <v>0.794</v>
      </c>
      <c r="L45" s="102">
        <v>0.8625</v>
      </c>
      <c r="M45" s="102">
        <v>0.8203</v>
      </c>
      <c r="N45" s="102">
        <v>0.7949</v>
      </c>
    </row>
    <row r="46" s="62" customFormat="1" ht="15" spans="1:14">
      <c r="A46" s="103"/>
      <c r="B46" s="99">
        <v>16</v>
      </c>
      <c r="C46" s="100">
        <v>0.8747</v>
      </c>
      <c r="D46" s="101">
        <v>0.8561</v>
      </c>
      <c r="E46" s="101">
        <v>0.825</v>
      </c>
      <c r="F46" s="100">
        <v>0.8823</v>
      </c>
      <c r="G46" s="102">
        <v>0.8483</v>
      </c>
      <c r="H46" s="102">
        <v>0.8424</v>
      </c>
      <c r="I46" s="102">
        <v>0.8709</v>
      </c>
      <c r="J46" s="102">
        <v>0.8391</v>
      </c>
      <c r="K46" s="102">
        <v>0.801</v>
      </c>
      <c r="L46" s="102">
        <v>0.8584</v>
      </c>
      <c r="M46" s="102">
        <v>0.819</v>
      </c>
      <c r="N46" s="102">
        <v>0.7968</v>
      </c>
    </row>
    <row r="47" s="62" customFormat="1" ht="15" spans="1:14">
      <c r="A47" s="103"/>
      <c r="B47" s="99">
        <v>17</v>
      </c>
      <c r="C47" s="100">
        <v>0.8755</v>
      </c>
      <c r="D47" s="101">
        <v>0.8552</v>
      </c>
      <c r="E47" s="101">
        <v>0.8351</v>
      </c>
      <c r="F47" s="100">
        <v>0.8793</v>
      </c>
      <c r="G47" s="102">
        <v>0.855</v>
      </c>
      <c r="H47" s="102">
        <v>0.847</v>
      </c>
      <c r="I47" s="102">
        <v>0.8672</v>
      </c>
      <c r="J47" s="102">
        <v>0.8283</v>
      </c>
      <c r="K47" s="102">
        <v>0.8029</v>
      </c>
      <c r="L47" s="102">
        <v>0.8508</v>
      </c>
      <c r="M47" s="102">
        <v>0.8183</v>
      </c>
      <c r="N47" s="102">
        <v>0.7924</v>
      </c>
    </row>
    <row r="48" s="62" customFormat="1" ht="15" spans="1:14">
      <c r="A48" s="103"/>
      <c r="B48" s="99">
        <v>18</v>
      </c>
      <c r="C48" s="100">
        <v>0.8734</v>
      </c>
      <c r="D48" s="101">
        <v>0.839</v>
      </c>
      <c r="E48" s="101">
        <v>0.8365</v>
      </c>
      <c r="F48" s="100">
        <v>0.8727</v>
      </c>
      <c r="G48" s="102">
        <v>0.8557</v>
      </c>
      <c r="H48" s="102">
        <v>0.8563</v>
      </c>
      <c r="I48" s="102">
        <v>0.8613</v>
      </c>
      <c r="J48" s="102">
        <v>0.8274</v>
      </c>
      <c r="K48" s="102">
        <v>0.7993</v>
      </c>
      <c r="L48" s="102">
        <v>0.8476</v>
      </c>
      <c r="M48" s="102">
        <v>0.8232</v>
      </c>
      <c r="N48" s="102">
        <v>0.7915</v>
      </c>
    </row>
    <row r="49" s="62" customFormat="1" ht="15" spans="1:14">
      <c r="A49" s="103"/>
      <c r="B49" s="99">
        <v>19</v>
      </c>
      <c r="C49" s="100">
        <v>0.8762</v>
      </c>
      <c r="D49" s="101">
        <v>0.8416</v>
      </c>
      <c r="E49" s="101">
        <v>0.8434</v>
      </c>
      <c r="F49" s="100">
        <v>0.869</v>
      </c>
      <c r="G49" s="102">
        <v>0.8578</v>
      </c>
      <c r="H49" s="102">
        <v>0.8579</v>
      </c>
      <c r="I49" s="102">
        <v>0.8577</v>
      </c>
      <c r="J49" s="102">
        <v>0.8246</v>
      </c>
      <c r="K49" s="102">
        <v>0.8019</v>
      </c>
      <c r="L49" s="102">
        <v>0.8433</v>
      </c>
      <c r="M49" s="102">
        <v>0.818</v>
      </c>
      <c r="N49" s="102">
        <v>0.7928</v>
      </c>
    </row>
    <row r="50" s="62" customFormat="1" ht="15" spans="1:14">
      <c r="A50" s="103"/>
      <c r="B50" s="99">
        <v>20</v>
      </c>
      <c r="C50" s="100">
        <v>0.8758</v>
      </c>
      <c r="D50" s="101">
        <v>0.8472</v>
      </c>
      <c r="E50" s="101">
        <v>0.8455</v>
      </c>
      <c r="F50" s="100">
        <v>0.8692</v>
      </c>
      <c r="G50" s="102">
        <v>0.8649</v>
      </c>
      <c r="H50" s="102">
        <v>0.8615</v>
      </c>
      <c r="I50" s="102">
        <v>0.8505</v>
      </c>
      <c r="J50" s="102">
        <v>0.8259</v>
      </c>
      <c r="K50" s="102">
        <v>0.8079</v>
      </c>
      <c r="L50" s="102">
        <v>0.8454</v>
      </c>
      <c r="M50" s="102">
        <v>0.8229</v>
      </c>
      <c r="N50" s="102">
        <v>0.8019</v>
      </c>
    </row>
    <row r="51" s="62" customFormat="1" ht="15" spans="1:14">
      <c r="A51" s="103"/>
      <c r="B51" s="99">
        <v>21</v>
      </c>
      <c r="C51" s="100">
        <v>0.8675</v>
      </c>
      <c r="D51" s="101">
        <v>0.85</v>
      </c>
      <c r="E51" s="101">
        <v>0.8479</v>
      </c>
      <c r="F51" s="100">
        <v>0.8616</v>
      </c>
      <c r="G51" s="102">
        <v>0.866</v>
      </c>
      <c r="H51" s="102">
        <v>0.8659</v>
      </c>
      <c r="I51" s="102">
        <v>0.8509</v>
      </c>
      <c r="J51" s="102">
        <v>0.82</v>
      </c>
      <c r="K51" s="102">
        <v>0.8011</v>
      </c>
      <c r="L51" s="102">
        <v>0.8436</v>
      </c>
      <c r="M51" s="102">
        <v>0.8226</v>
      </c>
      <c r="N51" s="102">
        <v>0.8023</v>
      </c>
    </row>
    <row r="52" s="62" customFormat="1" ht="15" spans="1:14">
      <c r="A52" s="103"/>
      <c r="B52" s="99">
        <v>22</v>
      </c>
      <c r="C52" s="100">
        <v>0.8634</v>
      </c>
      <c r="D52" s="101">
        <v>0.8524</v>
      </c>
      <c r="E52" s="101">
        <v>0.8538</v>
      </c>
      <c r="F52" s="100">
        <v>0.8563</v>
      </c>
      <c r="G52" s="102">
        <v>0.8665</v>
      </c>
      <c r="H52" s="102">
        <v>0.8668</v>
      </c>
      <c r="I52" s="102">
        <v>0.8471</v>
      </c>
      <c r="J52" s="102">
        <v>0.8209</v>
      </c>
      <c r="K52" s="102">
        <v>0.803</v>
      </c>
      <c r="L52" s="102">
        <v>0.8456</v>
      </c>
      <c r="M52" s="102">
        <v>0.8236</v>
      </c>
      <c r="N52" s="102">
        <v>0.8075</v>
      </c>
    </row>
    <row r="53" s="62" customFormat="1" ht="15" spans="1:14">
      <c r="A53" s="103"/>
      <c r="B53" s="99">
        <v>23</v>
      </c>
      <c r="C53" s="100">
        <v>0.8615</v>
      </c>
      <c r="D53" s="101">
        <v>0.8569</v>
      </c>
      <c r="E53" s="101">
        <v>0.8424</v>
      </c>
      <c r="F53" s="100">
        <v>0.8562</v>
      </c>
      <c r="G53" s="102">
        <v>0.8724</v>
      </c>
      <c r="H53" s="102">
        <v>0.8735</v>
      </c>
      <c r="I53" s="102">
        <v>0.8495</v>
      </c>
      <c r="J53" s="102">
        <v>0.8208</v>
      </c>
      <c r="K53" s="102">
        <v>0.8004</v>
      </c>
      <c r="L53" s="102">
        <v>0.8538</v>
      </c>
      <c r="M53" s="102">
        <v>0.8328</v>
      </c>
      <c r="N53" s="102">
        <v>0.8166</v>
      </c>
    </row>
    <row r="54" s="62" customFormat="1" ht="15" spans="1:14">
      <c r="A54" s="103"/>
      <c r="B54" s="99">
        <v>24</v>
      </c>
      <c r="C54" s="100">
        <v>0.862</v>
      </c>
      <c r="D54" s="101">
        <v>0.8593</v>
      </c>
      <c r="E54" s="101">
        <v>0.8358</v>
      </c>
      <c r="F54" s="100">
        <v>0.8535</v>
      </c>
      <c r="G54" s="102">
        <v>0.8796</v>
      </c>
      <c r="H54" s="102">
        <v>0.8184</v>
      </c>
      <c r="I54" s="102">
        <v>0.8487</v>
      </c>
      <c r="J54" s="102">
        <v>0.826</v>
      </c>
      <c r="K54" s="102">
        <v>0.8077</v>
      </c>
      <c r="L54" s="102">
        <v>0.8578</v>
      </c>
      <c r="M54" s="102">
        <v>0.8393</v>
      </c>
      <c r="N54" s="102">
        <v>0.8183</v>
      </c>
    </row>
    <row r="55" s="62" customFormat="1" ht="15" spans="1:14">
      <c r="A55" s="103"/>
      <c r="B55" s="99">
        <v>25</v>
      </c>
      <c r="C55" s="100">
        <v>0.8576</v>
      </c>
      <c r="D55" s="101">
        <v>0.8624</v>
      </c>
      <c r="E55" s="101">
        <v>0.8338</v>
      </c>
      <c r="F55" s="100">
        <v>0.8509</v>
      </c>
      <c r="G55" s="102">
        <v>0.8895</v>
      </c>
      <c r="H55" s="102">
        <v>0.8083</v>
      </c>
      <c r="I55" s="102">
        <v>0.8497</v>
      </c>
      <c r="J55" s="102">
        <v>0.8307</v>
      </c>
      <c r="K55" s="102">
        <v>0.8126</v>
      </c>
      <c r="L55" s="102">
        <v>0.8637</v>
      </c>
      <c r="M55" s="102">
        <v>0.8412</v>
      </c>
      <c r="N55" s="102">
        <v>0.8153</v>
      </c>
    </row>
    <row r="57" ht="16.2" spans="2:2">
      <c r="B57" s="84"/>
    </row>
    <row r="58" s="62" customFormat="1" ht="15" spans="1:14">
      <c r="A58" s="103">
        <v>0.55</v>
      </c>
      <c r="B58" s="99">
        <v>6</v>
      </c>
      <c r="C58" s="100">
        <v>0.8192</v>
      </c>
      <c r="D58" s="101">
        <v>0.8106</v>
      </c>
      <c r="E58" s="101">
        <v>0.8009</v>
      </c>
      <c r="F58" s="100">
        <v>0.8366</v>
      </c>
      <c r="G58" s="102">
        <v>0.8269</v>
      </c>
      <c r="H58" s="102">
        <v>0.8184</v>
      </c>
      <c r="I58" s="102">
        <v>0.848</v>
      </c>
      <c r="J58" s="102">
        <v>0.8393</v>
      </c>
      <c r="K58" s="102">
        <v>0.8268</v>
      </c>
      <c r="L58" s="102">
        <v>0.8611</v>
      </c>
      <c r="M58" s="102">
        <v>0.8487</v>
      </c>
      <c r="N58" s="102">
        <v>0.8316</v>
      </c>
    </row>
    <row r="59" s="62" customFormat="1" ht="15" spans="1:14">
      <c r="A59" s="103"/>
      <c r="B59" s="99">
        <v>7</v>
      </c>
      <c r="C59" s="100">
        <v>0.829</v>
      </c>
      <c r="D59" s="101">
        <v>0.8195</v>
      </c>
      <c r="E59" s="101">
        <v>0.8082</v>
      </c>
      <c r="F59" s="100">
        <v>0.8439</v>
      </c>
      <c r="G59" s="102">
        <v>0.837</v>
      </c>
      <c r="H59" s="102">
        <v>0.8224</v>
      </c>
      <c r="I59" s="102">
        <v>0.8543</v>
      </c>
      <c r="J59" s="102">
        <v>0.8443</v>
      </c>
      <c r="K59" s="102">
        <v>0.8291</v>
      </c>
      <c r="L59" s="102">
        <v>0.8663</v>
      </c>
      <c r="M59" s="102">
        <v>0.8514</v>
      </c>
      <c r="N59" s="102">
        <v>0.8339</v>
      </c>
    </row>
    <row r="60" s="62" customFormat="1" ht="15" spans="1:14">
      <c r="A60" s="103"/>
      <c r="B60" s="99">
        <v>8</v>
      </c>
      <c r="C60" s="100">
        <v>0.8359</v>
      </c>
      <c r="D60" s="101">
        <v>0.8263</v>
      </c>
      <c r="E60" s="101">
        <v>0.8181</v>
      </c>
      <c r="F60" s="100">
        <v>0.8502</v>
      </c>
      <c r="G60" s="102">
        <v>0.8448</v>
      </c>
      <c r="H60" s="102">
        <v>0.8248</v>
      </c>
      <c r="I60" s="102">
        <v>0.8646</v>
      </c>
      <c r="J60" s="102">
        <v>0.8488</v>
      </c>
      <c r="K60" s="102">
        <v>0.8298</v>
      </c>
      <c r="L60" s="102">
        <v>0.867</v>
      </c>
      <c r="M60" s="102">
        <v>0.855</v>
      </c>
      <c r="N60" s="102">
        <v>0.8327</v>
      </c>
    </row>
    <row r="61" s="62" customFormat="1" ht="15" spans="1:14">
      <c r="A61" s="103"/>
      <c r="B61" s="99">
        <v>9</v>
      </c>
      <c r="C61" s="100">
        <v>0.8418</v>
      </c>
      <c r="D61" s="101">
        <v>0.8298</v>
      </c>
      <c r="E61" s="101">
        <v>0.8212</v>
      </c>
      <c r="F61" s="100">
        <v>0.8581</v>
      </c>
      <c r="G61" s="102">
        <v>0.8455</v>
      </c>
      <c r="H61" s="102">
        <v>0.8315</v>
      </c>
      <c r="I61" s="102">
        <v>0.8649</v>
      </c>
      <c r="J61" s="102">
        <v>0.8498</v>
      </c>
      <c r="K61" s="102">
        <v>0.8323</v>
      </c>
      <c r="L61" s="102">
        <v>0.8725</v>
      </c>
      <c r="M61" s="102">
        <v>0.854</v>
      </c>
      <c r="N61" s="102">
        <v>0.8293</v>
      </c>
    </row>
    <row r="62" s="62" customFormat="1" ht="15" spans="1:14">
      <c r="A62" s="103"/>
      <c r="B62" s="99">
        <v>10</v>
      </c>
      <c r="C62" s="100">
        <v>0.8465</v>
      </c>
      <c r="D62" s="101">
        <v>0.8391</v>
      </c>
      <c r="E62" s="101">
        <v>0.8286</v>
      </c>
      <c r="F62" s="100">
        <v>0.8657</v>
      </c>
      <c r="G62" s="102">
        <v>0.8489</v>
      </c>
      <c r="H62" s="102">
        <v>0.832</v>
      </c>
      <c r="I62" s="102">
        <v>0.8698</v>
      </c>
      <c r="J62" s="102">
        <v>0.8521</v>
      </c>
      <c r="K62" s="102">
        <v>0.8286</v>
      </c>
      <c r="L62" s="102">
        <v>0.8725</v>
      </c>
      <c r="M62" s="102">
        <v>0.8556</v>
      </c>
      <c r="N62" s="102">
        <v>0.8186</v>
      </c>
    </row>
    <row r="63" s="62" customFormat="1" ht="15" spans="1:14">
      <c r="A63" s="103"/>
      <c r="B63" s="99">
        <v>11</v>
      </c>
      <c r="C63" s="100">
        <v>0.8507</v>
      </c>
      <c r="D63" s="101">
        <v>0.8425</v>
      </c>
      <c r="E63" s="101">
        <v>0.828</v>
      </c>
      <c r="F63" s="100">
        <v>0.8672</v>
      </c>
      <c r="G63" s="102">
        <v>0.8524</v>
      </c>
      <c r="H63" s="102">
        <v>0.8294</v>
      </c>
      <c r="I63" s="102">
        <v>0.8704</v>
      </c>
      <c r="J63" s="102">
        <v>0.8517</v>
      </c>
      <c r="K63" s="102">
        <v>0.8206</v>
      </c>
      <c r="L63" s="102">
        <v>0.8735</v>
      </c>
      <c r="M63" s="102">
        <v>0.8493</v>
      </c>
      <c r="N63" s="102">
        <v>0.8127</v>
      </c>
    </row>
    <row r="64" s="62" customFormat="1" ht="15" spans="1:14">
      <c r="A64" s="103"/>
      <c r="B64" s="99">
        <v>12</v>
      </c>
      <c r="C64" s="100">
        <v>0.8684</v>
      </c>
      <c r="D64" s="101">
        <v>0.8457</v>
      </c>
      <c r="E64" s="101">
        <v>0.8315</v>
      </c>
      <c r="F64" s="100">
        <v>0.8688</v>
      </c>
      <c r="G64" s="102">
        <v>0.8479</v>
      </c>
      <c r="H64" s="102">
        <v>0.8254</v>
      </c>
      <c r="I64" s="102">
        <v>0.87</v>
      </c>
      <c r="J64" s="102">
        <v>0.8471</v>
      </c>
      <c r="K64" s="102">
        <v>0.8129</v>
      </c>
      <c r="L64" s="102">
        <v>0.8676</v>
      </c>
      <c r="M64" s="102">
        <v>0.8407</v>
      </c>
      <c r="N64" s="102">
        <v>0.8059</v>
      </c>
    </row>
    <row r="65" s="62" customFormat="1" ht="15" spans="1:14">
      <c r="A65" s="103"/>
      <c r="B65" s="99">
        <v>13</v>
      </c>
      <c r="C65" s="100">
        <v>0.8681</v>
      </c>
      <c r="D65" s="101">
        <v>0.8493</v>
      </c>
      <c r="E65" s="101">
        <v>0.8342</v>
      </c>
      <c r="F65" s="100">
        <v>0.873</v>
      </c>
      <c r="G65" s="102">
        <v>0.8559</v>
      </c>
      <c r="H65" s="102">
        <v>0.8343</v>
      </c>
      <c r="I65" s="102">
        <v>0.8807</v>
      </c>
      <c r="J65" s="102">
        <v>0.8524</v>
      </c>
      <c r="K65" s="102">
        <v>0.8208</v>
      </c>
      <c r="L65" s="102">
        <v>0.8809</v>
      </c>
      <c r="M65" s="102">
        <v>0.8416</v>
      </c>
      <c r="N65" s="102">
        <v>0.7995</v>
      </c>
    </row>
    <row r="66" s="62" customFormat="1" ht="15" spans="1:14">
      <c r="A66" s="103"/>
      <c r="B66" s="99">
        <v>14</v>
      </c>
      <c r="C66" s="100">
        <v>0.8685</v>
      </c>
      <c r="D66" s="101">
        <v>0.852</v>
      </c>
      <c r="E66" s="101">
        <v>0.8349</v>
      </c>
      <c r="F66" s="100">
        <v>0.874</v>
      </c>
      <c r="G66" s="102">
        <v>0.8551</v>
      </c>
      <c r="H66" s="102">
        <v>0.8256</v>
      </c>
      <c r="I66" s="102">
        <v>0.8798</v>
      </c>
      <c r="J66" s="102">
        <v>0.848</v>
      </c>
      <c r="K66" s="102">
        <v>0.8161</v>
      </c>
      <c r="L66" s="102">
        <v>0.8735</v>
      </c>
      <c r="M66" s="102">
        <v>0.8336</v>
      </c>
      <c r="N66" s="102">
        <v>0.7937</v>
      </c>
    </row>
    <row r="67" s="62" customFormat="1" ht="15" spans="1:14">
      <c r="A67" s="103"/>
      <c r="B67" s="99">
        <v>15</v>
      </c>
      <c r="C67" s="100">
        <v>0.8707</v>
      </c>
      <c r="D67" s="101">
        <v>0.8554</v>
      </c>
      <c r="E67" s="101">
        <v>0.8377</v>
      </c>
      <c r="F67" s="100">
        <v>0.8773</v>
      </c>
      <c r="G67" s="102">
        <v>0.8597</v>
      </c>
      <c r="H67" s="102">
        <v>0.8343</v>
      </c>
      <c r="I67" s="102">
        <v>0.879</v>
      </c>
      <c r="J67" s="102">
        <v>0.8553</v>
      </c>
      <c r="K67" s="102">
        <v>0.804</v>
      </c>
      <c r="L67" s="102">
        <v>0.8693</v>
      </c>
      <c r="M67" s="102">
        <v>0.8283</v>
      </c>
      <c r="N67" s="102">
        <v>0.7881</v>
      </c>
    </row>
    <row r="68" s="62" customFormat="1" ht="15" spans="1:14">
      <c r="A68" s="103"/>
      <c r="B68" s="99">
        <v>16</v>
      </c>
      <c r="C68" s="100">
        <v>0.8756</v>
      </c>
      <c r="D68" s="101">
        <v>0.8554</v>
      </c>
      <c r="E68" s="101">
        <v>0.8333</v>
      </c>
      <c r="F68" s="100">
        <v>0.8768</v>
      </c>
      <c r="G68" s="102">
        <v>0.8409</v>
      </c>
      <c r="H68" s="102">
        <v>0.8389</v>
      </c>
      <c r="I68" s="102">
        <v>0.876</v>
      </c>
      <c r="J68" s="102">
        <v>0.8363</v>
      </c>
      <c r="K68" s="102">
        <v>0.791</v>
      </c>
      <c r="L68" s="102">
        <v>0.8635</v>
      </c>
      <c r="M68" s="102">
        <v>0.8228</v>
      </c>
      <c r="N68" s="102">
        <v>0.7898</v>
      </c>
    </row>
    <row r="69" s="62" customFormat="1" ht="15" spans="1:14">
      <c r="A69" s="103"/>
      <c r="B69" s="99">
        <v>17</v>
      </c>
      <c r="C69" s="100">
        <v>0.8745</v>
      </c>
      <c r="D69" s="101">
        <v>0.8553</v>
      </c>
      <c r="E69" s="101">
        <v>0.8185</v>
      </c>
      <c r="F69" s="100">
        <v>0.8772</v>
      </c>
      <c r="G69" s="102">
        <v>0.8476</v>
      </c>
      <c r="H69" s="102">
        <v>0.8416</v>
      </c>
      <c r="I69" s="102">
        <v>0.8707</v>
      </c>
      <c r="J69" s="102">
        <v>0.8305</v>
      </c>
      <c r="K69" s="102">
        <v>0.7885</v>
      </c>
      <c r="L69" s="102">
        <v>0.8592</v>
      </c>
      <c r="M69" s="102">
        <v>0.821</v>
      </c>
      <c r="N69" s="102">
        <v>0.8051</v>
      </c>
    </row>
    <row r="70" s="62" customFormat="1" ht="15" spans="1:14">
      <c r="A70" s="103"/>
      <c r="B70" s="99">
        <v>18</v>
      </c>
      <c r="C70" s="100">
        <v>0.8765</v>
      </c>
      <c r="D70" s="101">
        <v>0.8531</v>
      </c>
      <c r="E70" s="101">
        <v>0.8324</v>
      </c>
      <c r="F70" s="100">
        <v>0.8746</v>
      </c>
      <c r="G70" s="102">
        <v>0.8524</v>
      </c>
      <c r="H70" s="102">
        <v>0.843</v>
      </c>
      <c r="I70" s="102">
        <v>0.8634</v>
      </c>
      <c r="J70" s="102">
        <v>0.8265</v>
      </c>
      <c r="K70" s="102">
        <v>0.7963</v>
      </c>
      <c r="L70" s="102">
        <v>0.8524</v>
      </c>
      <c r="M70" s="102">
        <v>0.819</v>
      </c>
      <c r="N70" s="102">
        <v>0.8057</v>
      </c>
    </row>
    <row r="71" s="62" customFormat="1" ht="15" spans="1:14">
      <c r="A71" s="103"/>
      <c r="B71" s="99">
        <v>19</v>
      </c>
      <c r="C71" s="100">
        <v>0.8754</v>
      </c>
      <c r="D71" s="101">
        <v>0.8505</v>
      </c>
      <c r="E71" s="101">
        <v>0.835</v>
      </c>
      <c r="F71" s="100">
        <v>0.8724</v>
      </c>
      <c r="G71" s="102">
        <v>0.8552</v>
      </c>
      <c r="H71" s="102">
        <v>0.838</v>
      </c>
      <c r="I71" s="102">
        <v>0.8607</v>
      </c>
      <c r="J71" s="102">
        <v>0.8245</v>
      </c>
      <c r="K71" s="102">
        <v>0.7989</v>
      </c>
      <c r="L71" s="102">
        <v>0.8449</v>
      </c>
      <c r="M71" s="102">
        <v>0.8213</v>
      </c>
      <c r="N71" s="102">
        <v>0.7918</v>
      </c>
    </row>
    <row r="72" s="62" customFormat="1" ht="15" spans="1:14">
      <c r="A72" s="103"/>
      <c r="B72" s="99">
        <v>20</v>
      </c>
      <c r="C72" s="100">
        <v>0.8758</v>
      </c>
      <c r="D72" s="101">
        <v>0.8403</v>
      </c>
      <c r="E72" s="101">
        <v>0.8406</v>
      </c>
      <c r="F72" s="100">
        <v>0.8676</v>
      </c>
      <c r="G72" s="102">
        <v>0.8563</v>
      </c>
      <c r="H72" s="102">
        <v>0.8216</v>
      </c>
      <c r="I72" s="102">
        <v>0.8554</v>
      </c>
      <c r="J72" s="102">
        <v>0.8233</v>
      </c>
      <c r="K72" s="102">
        <v>0.797</v>
      </c>
      <c r="L72" s="102">
        <v>0.8451</v>
      </c>
      <c r="M72" s="102">
        <v>0.8238</v>
      </c>
      <c r="N72" s="102">
        <v>0.7908</v>
      </c>
    </row>
    <row r="73" s="62" customFormat="1" ht="15" spans="1:14">
      <c r="A73" s="103"/>
      <c r="B73" s="99">
        <v>21</v>
      </c>
      <c r="C73" s="100">
        <v>0.8815</v>
      </c>
      <c r="D73" s="101">
        <v>0.8412</v>
      </c>
      <c r="E73" s="101">
        <v>0.8436</v>
      </c>
      <c r="F73" s="100">
        <v>0.8654</v>
      </c>
      <c r="G73" s="102">
        <v>0.862</v>
      </c>
      <c r="H73" s="102">
        <v>0.8421</v>
      </c>
      <c r="I73" s="102">
        <v>0.8525</v>
      </c>
      <c r="J73" s="102">
        <v>0.8194</v>
      </c>
      <c r="K73" s="102">
        <v>0.7918</v>
      </c>
      <c r="L73" s="102">
        <v>0.8438</v>
      </c>
      <c r="M73" s="102">
        <v>0.8212</v>
      </c>
      <c r="N73" s="102">
        <v>0.7938</v>
      </c>
    </row>
    <row r="74" s="62" customFormat="1" ht="15" spans="1:14">
      <c r="A74" s="103"/>
      <c r="B74" s="99">
        <v>22</v>
      </c>
      <c r="C74" s="100">
        <v>0.8773</v>
      </c>
      <c r="D74" s="101">
        <v>0.8465</v>
      </c>
      <c r="E74" s="101">
        <v>0.8464</v>
      </c>
      <c r="F74" s="100">
        <v>0.8632</v>
      </c>
      <c r="G74" s="102">
        <v>0.8642</v>
      </c>
      <c r="H74" s="102">
        <v>0.8618</v>
      </c>
      <c r="I74" s="102">
        <v>0.8485</v>
      </c>
      <c r="J74" s="102">
        <v>0.8258</v>
      </c>
      <c r="K74" s="102">
        <v>0.8041</v>
      </c>
      <c r="L74" s="102">
        <v>0.8408</v>
      </c>
      <c r="M74" s="102">
        <v>0.82</v>
      </c>
      <c r="N74" s="102">
        <v>0.8012</v>
      </c>
    </row>
    <row r="75" s="62" customFormat="1" ht="15" spans="1:14">
      <c r="A75" s="103"/>
      <c r="B75" s="99">
        <v>23</v>
      </c>
      <c r="C75" s="100">
        <v>0.8684</v>
      </c>
      <c r="D75" s="101">
        <v>0.8514</v>
      </c>
      <c r="E75" s="101">
        <v>0.8484</v>
      </c>
      <c r="F75" s="100">
        <v>0.8568</v>
      </c>
      <c r="G75" s="102">
        <v>0.8653</v>
      </c>
      <c r="H75" s="102">
        <v>0.8631</v>
      </c>
      <c r="I75" s="102">
        <v>0.8474</v>
      </c>
      <c r="J75" s="102">
        <v>0.8174</v>
      </c>
      <c r="K75" s="102">
        <v>0.8106</v>
      </c>
      <c r="L75" s="102">
        <v>0.8395</v>
      </c>
      <c r="M75" s="102">
        <v>0.8225</v>
      </c>
      <c r="N75" s="102">
        <v>0.8025</v>
      </c>
    </row>
    <row r="76" s="62" customFormat="1" ht="15" spans="1:14">
      <c r="A76" s="103"/>
      <c r="B76" s="99">
        <v>24</v>
      </c>
      <c r="C76" s="100">
        <v>0.8651</v>
      </c>
      <c r="D76" s="101">
        <v>0.8537</v>
      </c>
      <c r="E76" s="101">
        <v>0.8534</v>
      </c>
      <c r="F76" s="100">
        <v>0.8526</v>
      </c>
      <c r="G76" s="102">
        <v>0.8705</v>
      </c>
      <c r="H76" s="102">
        <v>0.8663</v>
      </c>
      <c r="I76" s="102">
        <v>0.8474</v>
      </c>
      <c r="J76" s="102">
        <v>0.8204</v>
      </c>
      <c r="K76" s="102">
        <v>0.8058</v>
      </c>
      <c r="L76" s="102">
        <v>0.843</v>
      </c>
      <c r="M76" s="102">
        <v>0.8229</v>
      </c>
      <c r="N76" s="102">
        <v>0.8064</v>
      </c>
    </row>
    <row r="77" s="62" customFormat="1" ht="15" spans="1:14">
      <c r="A77" s="103"/>
      <c r="B77" s="99">
        <v>25</v>
      </c>
      <c r="C77" s="100">
        <v>0.8634</v>
      </c>
      <c r="D77" s="101">
        <v>0.8569</v>
      </c>
      <c r="E77" s="101">
        <v>0.8465</v>
      </c>
      <c r="F77" s="100">
        <v>0.8499</v>
      </c>
      <c r="G77" s="102">
        <v>0.8752</v>
      </c>
      <c r="H77" s="102">
        <v>0.8105</v>
      </c>
      <c r="I77" s="102">
        <v>0.8447</v>
      </c>
      <c r="J77" s="102">
        <v>0.8205</v>
      </c>
      <c r="K77" s="102">
        <v>0.806</v>
      </c>
      <c r="L77" s="102">
        <v>0.8477</v>
      </c>
      <c r="M77" s="102">
        <v>0.829</v>
      </c>
      <c r="N77" s="102">
        <v>0.8084</v>
      </c>
    </row>
    <row r="79" ht="16.2" spans="2:2">
      <c r="B79" s="84"/>
    </row>
    <row r="80" s="62" customFormat="1" ht="15" spans="1:14">
      <c r="A80" s="98">
        <v>0.5</v>
      </c>
      <c r="B80" s="99">
        <v>6</v>
      </c>
      <c r="C80" s="100">
        <v>0.811</v>
      </c>
      <c r="D80" s="101">
        <v>0.8029</v>
      </c>
      <c r="E80" s="101">
        <v>0.7961</v>
      </c>
      <c r="F80" s="100">
        <v>0.8305</v>
      </c>
      <c r="G80" s="102">
        <v>0.8209</v>
      </c>
      <c r="H80" s="102">
        <v>0.8096</v>
      </c>
      <c r="I80" s="102">
        <v>0.8426</v>
      </c>
      <c r="J80" s="102">
        <v>0.8317</v>
      </c>
      <c r="K80" s="102">
        <v>0.8208</v>
      </c>
      <c r="L80" s="102">
        <v>0.8528</v>
      </c>
      <c r="M80" s="102">
        <v>0.8419</v>
      </c>
      <c r="N80" s="102">
        <v>0.8267</v>
      </c>
    </row>
    <row r="81" s="62" customFormat="1" ht="15" spans="1:14">
      <c r="A81" s="98"/>
      <c r="B81" s="99">
        <v>7</v>
      </c>
      <c r="C81" s="100">
        <v>0.8218</v>
      </c>
      <c r="D81" s="101">
        <v>0.8125</v>
      </c>
      <c r="E81" s="101">
        <v>0.804</v>
      </c>
      <c r="F81" s="100">
        <v>0.8388</v>
      </c>
      <c r="G81" s="102">
        <v>0.8291</v>
      </c>
      <c r="H81" s="102">
        <v>0.8219</v>
      </c>
      <c r="I81" s="102">
        <v>0.8506</v>
      </c>
      <c r="J81" s="102">
        <v>0.841</v>
      </c>
      <c r="K81" s="102">
        <v>0.8267</v>
      </c>
      <c r="L81" s="102">
        <v>0.8637</v>
      </c>
      <c r="M81" s="102">
        <v>0.8481</v>
      </c>
      <c r="N81" s="102">
        <v>0.8299</v>
      </c>
    </row>
    <row r="82" s="62" customFormat="1" ht="15" spans="1:14">
      <c r="A82" s="98"/>
      <c r="B82" s="99">
        <v>8</v>
      </c>
      <c r="C82" s="100">
        <v>0.8296</v>
      </c>
      <c r="D82" s="101">
        <v>0.82</v>
      </c>
      <c r="E82" s="101">
        <v>0.8099</v>
      </c>
      <c r="F82" s="100">
        <v>0.8447</v>
      </c>
      <c r="G82" s="102">
        <v>0.8378</v>
      </c>
      <c r="H82" s="102">
        <v>0.823</v>
      </c>
      <c r="I82" s="102">
        <v>0.8603</v>
      </c>
      <c r="J82" s="102">
        <v>0.8445</v>
      </c>
      <c r="K82" s="102">
        <v>0.8302</v>
      </c>
      <c r="L82" s="102">
        <v>0.8656</v>
      </c>
      <c r="M82" s="102">
        <v>0.8493</v>
      </c>
      <c r="N82" s="102">
        <v>0.8336</v>
      </c>
    </row>
    <row r="83" s="62" customFormat="1" ht="15" spans="1:14">
      <c r="A83" s="98"/>
      <c r="B83" s="99">
        <v>9</v>
      </c>
      <c r="C83" s="100">
        <v>0.8354</v>
      </c>
      <c r="D83" s="101">
        <v>0.8256</v>
      </c>
      <c r="E83" s="101">
        <v>0.8186</v>
      </c>
      <c r="F83" s="100">
        <v>0.8503</v>
      </c>
      <c r="G83" s="102">
        <v>0.8401</v>
      </c>
      <c r="H83" s="102">
        <v>0.8285</v>
      </c>
      <c r="I83" s="102">
        <v>0.8641</v>
      </c>
      <c r="J83" s="102">
        <v>0.8493</v>
      </c>
      <c r="K83" s="102">
        <v>0.8333</v>
      </c>
      <c r="L83" s="102">
        <v>0.8676</v>
      </c>
      <c r="M83" s="102">
        <v>0.852</v>
      </c>
      <c r="N83" s="102">
        <v>0.8314</v>
      </c>
    </row>
    <row r="84" s="62" customFormat="1" ht="15" spans="1:14">
      <c r="A84" s="98"/>
      <c r="B84" s="99">
        <v>10</v>
      </c>
      <c r="C84" s="100">
        <v>0.841</v>
      </c>
      <c r="D84" s="101">
        <v>0.8289</v>
      </c>
      <c r="E84" s="101">
        <v>0.8201</v>
      </c>
      <c r="F84" s="100">
        <v>0.8596</v>
      </c>
      <c r="G84" s="102">
        <v>0.846</v>
      </c>
      <c r="H84" s="102">
        <v>0.8305</v>
      </c>
      <c r="I84" s="102">
        <v>0.8677</v>
      </c>
      <c r="J84" s="102">
        <v>0.8527</v>
      </c>
      <c r="K84" s="102">
        <v>0.8302</v>
      </c>
      <c r="L84" s="102">
        <v>0.8736</v>
      </c>
      <c r="M84" s="102">
        <v>0.8506</v>
      </c>
      <c r="N84" s="102">
        <v>0.8272</v>
      </c>
    </row>
    <row r="85" s="62" customFormat="1" ht="15" spans="1:14">
      <c r="A85" s="98"/>
      <c r="B85" s="99">
        <v>11</v>
      </c>
      <c r="C85" s="100">
        <v>0.8451</v>
      </c>
      <c r="D85" s="101">
        <v>0.8388</v>
      </c>
      <c r="E85" s="101">
        <v>0.8253</v>
      </c>
      <c r="F85" s="100">
        <v>0.8646</v>
      </c>
      <c r="G85" s="102">
        <v>0.8473</v>
      </c>
      <c r="H85" s="102">
        <v>0.8312</v>
      </c>
      <c r="I85" s="102">
        <v>0.8675</v>
      </c>
      <c r="J85" s="102">
        <v>0.8514</v>
      </c>
      <c r="K85" s="102">
        <v>0.8309</v>
      </c>
      <c r="L85" s="102">
        <v>0.8715</v>
      </c>
      <c r="M85" s="102">
        <v>0.8517</v>
      </c>
      <c r="N85" s="102">
        <v>0.8174</v>
      </c>
    </row>
    <row r="86" s="62" customFormat="1" ht="15" spans="1:14">
      <c r="A86" s="98"/>
      <c r="B86" s="99">
        <v>12</v>
      </c>
      <c r="C86" s="100">
        <v>0.8494</v>
      </c>
      <c r="D86" s="101">
        <v>0.8402</v>
      </c>
      <c r="E86" s="101">
        <v>0.8254</v>
      </c>
      <c r="F86" s="100">
        <v>0.8656</v>
      </c>
      <c r="G86" s="102">
        <v>0.8477</v>
      </c>
      <c r="H86" s="102">
        <v>0.83</v>
      </c>
      <c r="I86" s="102">
        <v>0.8694</v>
      </c>
      <c r="J86" s="102">
        <v>0.8494</v>
      </c>
      <c r="K86" s="102">
        <v>0.8198</v>
      </c>
      <c r="L86" s="102">
        <v>0.8729</v>
      </c>
      <c r="M86" s="102">
        <v>0.8457</v>
      </c>
      <c r="N86" s="102">
        <v>0.8126</v>
      </c>
    </row>
    <row r="87" s="62" customFormat="1" ht="15" spans="1:14">
      <c r="A87" s="98"/>
      <c r="B87" s="99">
        <v>13</v>
      </c>
      <c r="C87" s="100">
        <v>0.8624</v>
      </c>
      <c r="D87" s="101">
        <v>0.8465</v>
      </c>
      <c r="E87" s="101">
        <v>0.8327</v>
      </c>
      <c r="F87" s="100">
        <v>0.8703</v>
      </c>
      <c r="G87" s="102">
        <v>0.8536</v>
      </c>
      <c r="H87" s="102">
        <v>0.837</v>
      </c>
      <c r="I87" s="102">
        <v>0.8771</v>
      </c>
      <c r="J87" s="102">
        <v>0.8571</v>
      </c>
      <c r="K87" s="102">
        <v>0.8266</v>
      </c>
      <c r="L87" s="102">
        <v>0.8801</v>
      </c>
      <c r="M87" s="102">
        <v>0.8464</v>
      </c>
      <c r="N87" s="102">
        <v>0.8113</v>
      </c>
    </row>
    <row r="88" s="62" customFormat="1" ht="15" spans="1:14">
      <c r="A88" s="98"/>
      <c r="B88" s="99">
        <v>14</v>
      </c>
      <c r="C88" s="100">
        <v>0.8666</v>
      </c>
      <c r="D88" s="101">
        <v>0.8491</v>
      </c>
      <c r="E88" s="101">
        <v>0.8321</v>
      </c>
      <c r="F88" s="100">
        <v>0.8741</v>
      </c>
      <c r="G88" s="102">
        <v>0.8546</v>
      </c>
      <c r="H88" s="102">
        <v>0.8359</v>
      </c>
      <c r="I88" s="102">
        <v>0.8778</v>
      </c>
      <c r="J88" s="102">
        <v>0.8569</v>
      </c>
      <c r="K88" s="102">
        <v>0.8258</v>
      </c>
      <c r="L88" s="102">
        <v>0.8795</v>
      </c>
      <c r="M88" s="102">
        <v>0.8385</v>
      </c>
      <c r="N88" s="102">
        <v>0.8028</v>
      </c>
    </row>
    <row r="89" s="62" customFormat="1" ht="15" spans="1:14">
      <c r="A89" s="98"/>
      <c r="B89" s="99">
        <v>15</v>
      </c>
      <c r="C89" s="100">
        <v>0.8663</v>
      </c>
      <c r="D89" s="101">
        <v>0.8513</v>
      </c>
      <c r="E89" s="101">
        <v>0.8376</v>
      </c>
      <c r="F89" s="100">
        <v>0.8748</v>
      </c>
      <c r="G89" s="102">
        <v>0.8546</v>
      </c>
      <c r="H89" s="102">
        <v>0.8275</v>
      </c>
      <c r="I89" s="102">
        <v>0.8787</v>
      </c>
      <c r="J89" s="102">
        <v>0.8428</v>
      </c>
      <c r="K89" s="102">
        <v>0.8144</v>
      </c>
      <c r="L89" s="102">
        <v>0.8762</v>
      </c>
      <c r="M89" s="102">
        <v>0.8323</v>
      </c>
      <c r="N89" s="102">
        <v>0.7919</v>
      </c>
    </row>
    <row r="90" s="62" customFormat="1" ht="15" spans="1:14">
      <c r="A90" s="98"/>
      <c r="B90" s="99">
        <v>16</v>
      </c>
      <c r="C90" s="100">
        <v>0.8684</v>
      </c>
      <c r="D90" s="101">
        <v>0.8537</v>
      </c>
      <c r="E90" s="101">
        <v>0.8363</v>
      </c>
      <c r="F90" s="100">
        <v>0.8756</v>
      </c>
      <c r="G90" s="102">
        <v>0.8561</v>
      </c>
      <c r="H90" s="102">
        <v>0.832</v>
      </c>
      <c r="I90" s="102">
        <v>0.878</v>
      </c>
      <c r="J90" s="102">
        <v>0.8454</v>
      </c>
      <c r="K90" s="102">
        <v>0.81</v>
      </c>
      <c r="L90" s="102">
        <v>0.8724</v>
      </c>
      <c r="M90" s="102">
        <v>0.8297</v>
      </c>
      <c r="N90" s="102">
        <v>0.7909</v>
      </c>
    </row>
    <row r="91" s="62" customFormat="1" ht="15" spans="1:14">
      <c r="A91" s="98"/>
      <c r="B91" s="99">
        <v>17</v>
      </c>
      <c r="C91" s="100">
        <v>0.8704</v>
      </c>
      <c r="D91" s="101">
        <v>0.8522</v>
      </c>
      <c r="E91" s="101">
        <v>0.8378</v>
      </c>
      <c r="F91" s="100">
        <v>0.8753</v>
      </c>
      <c r="G91" s="102">
        <v>0.8503</v>
      </c>
      <c r="H91" s="102">
        <v>0.8341</v>
      </c>
      <c r="I91" s="102">
        <v>0.879</v>
      </c>
      <c r="J91" s="102">
        <v>0.8566</v>
      </c>
      <c r="K91" s="102">
        <v>0.7943</v>
      </c>
      <c r="L91" s="102">
        <v>0.8669</v>
      </c>
      <c r="M91" s="102">
        <v>0.8228</v>
      </c>
      <c r="N91" s="102">
        <v>0.7857</v>
      </c>
    </row>
    <row r="92" s="62" customFormat="1" ht="15" spans="1:14">
      <c r="A92" s="98"/>
      <c r="B92" s="99">
        <v>18</v>
      </c>
      <c r="C92" s="100">
        <v>0.8704</v>
      </c>
      <c r="D92" s="101">
        <v>0.8534</v>
      </c>
      <c r="E92" s="101">
        <v>0.8269</v>
      </c>
      <c r="F92" s="100">
        <v>0.8771</v>
      </c>
      <c r="G92" s="102">
        <v>0.8387</v>
      </c>
      <c r="H92" s="102">
        <v>0.8392</v>
      </c>
      <c r="I92" s="102">
        <v>0.8698</v>
      </c>
      <c r="J92" s="102">
        <v>0.8328</v>
      </c>
      <c r="K92" s="102">
        <v>0.7967</v>
      </c>
      <c r="L92" s="102">
        <v>0.8592</v>
      </c>
      <c r="M92" s="102">
        <v>0.8178</v>
      </c>
      <c r="N92" s="102">
        <v>0.7875</v>
      </c>
    </row>
    <row r="93" s="62" customFormat="1" ht="15" spans="1:14">
      <c r="A93" s="98"/>
      <c r="B93" s="99">
        <v>19</v>
      </c>
      <c r="C93" s="100">
        <v>0.875</v>
      </c>
      <c r="D93" s="101">
        <v>0.8521</v>
      </c>
      <c r="E93" s="101">
        <v>0.8223</v>
      </c>
      <c r="F93" s="100">
        <v>0.8793</v>
      </c>
      <c r="G93" s="102">
        <v>0.8482</v>
      </c>
      <c r="H93" s="102">
        <v>0.841</v>
      </c>
      <c r="I93" s="102">
        <v>0.8712</v>
      </c>
      <c r="J93" s="102">
        <v>0.8312</v>
      </c>
      <c r="K93" s="102">
        <v>0.7955</v>
      </c>
      <c r="L93" s="102">
        <v>0.8554</v>
      </c>
      <c r="M93" s="102">
        <v>0.8164</v>
      </c>
      <c r="N93" s="102">
        <v>0.8068</v>
      </c>
    </row>
    <row r="94" s="62" customFormat="1" ht="15" spans="1:14">
      <c r="A94" s="98"/>
      <c r="B94" s="99">
        <v>20</v>
      </c>
      <c r="C94" s="100">
        <v>0.8764</v>
      </c>
      <c r="D94" s="101">
        <v>0.8584</v>
      </c>
      <c r="E94" s="101">
        <v>0.8339</v>
      </c>
      <c r="F94" s="100">
        <v>0.8764</v>
      </c>
      <c r="G94" s="102">
        <v>0.8509</v>
      </c>
      <c r="H94" s="102">
        <v>0.8431</v>
      </c>
      <c r="I94" s="102">
        <v>0.8646</v>
      </c>
      <c r="J94" s="102">
        <v>0.8297</v>
      </c>
      <c r="K94" s="102">
        <v>0.8008</v>
      </c>
      <c r="L94" s="102">
        <v>0.851</v>
      </c>
      <c r="M94" s="102">
        <v>0.8183</v>
      </c>
      <c r="N94" s="102">
        <v>0.8115</v>
      </c>
    </row>
    <row r="95" s="62" customFormat="1" ht="15" spans="1:14">
      <c r="A95" s="98"/>
      <c r="B95" s="99">
        <v>21</v>
      </c>
      <c r="C95" s="100">
        <v>0.8742</v>
      </c>
      <c r="D95" s="101">
        <v>0.8459</v>
      </c>
      <c r="E95" s="101">
        <v>0.8366</v>
      </c>
      <c r="F95" s="100">
        <v>0.8701</v>
      </c>
      <c r="G95" s="102">
        <v>0.8536</v>
      </c>
      <c r="H95" s="102">
        <v>0.8326</v>
      </c>
      <c r="I95" s="102">
        <v>0.858</v>
      </c>
      <c r="J95" s="102">
        <v>0.8232</v>
      </c>
      <c r="K95" s="102">
        <v>0.8011</v>
      </c>
      <c r="L95" s="102">
        <v>0.8448</v>
      </c>
      <c r="M95" s="102">
        <v>0.8205</v>
      </c>
      <c r="N95" s="102">
        <v>0.7916</v>
      </c>
    </row>
    <row r="96" s="62" customFormat="1" ht="15" spans="1:14">
      <c r="A96" s="98"/>
      <c r="B96" s="99">
        <v>22</v>
      </c>
      <c r="C96" s="100">
        <v>0.8766</v>
      </c>
      <c r="D96" s="101">
        <v>0.8375</v>
      </c>
      <c r="E96" s="101">
        <v>0.8391</v>
      </c>
      <c r="F96" s="100">
        <v>0.8652</v>
      </c>
      <c r="G96" s="102">
        <v>0.856</v>
      </c>
      <c r="H96" s="102">
        <v>0.8198</v>
      </c>
      <c r="I96" s="102">
        <v>0.8569</v>
      </c>
      <c r="J96" s="102">
        <v>0.8221</v>
      </c>
      <c r="K96" s="102">
        <v>0.7968</v>
      </c>
      <c r="L96" s="102">
        <v>0.8437</v>
      </c>
      <c r="M96" s="102">
        <v>0.8213</v>
      </c>
      <c r="N96" s="102">
        <v>0.7906</v>
      </c>
    </row>
    <row r="97" s="62" customFormat="1" ht="15" spans="1:14">
      <c r="A97" s="98"/>
      <c r="B97" s="99">
        <v>23</v>
      </c>
      <c r="C97" s="100">
        <v>0.8761</v>
      </c>
      <c r="D97" s="101">
        <v>0.8405</v>
      </c>
      <c r="E97" s="101">
        <v>0.8442</v>
      </c>
      <c r="F97" s="100">
        <v>0.8675</v>
      </c>
      <c r="G97" s="102">
        <v>0.858</v>
      </c>
      <c r="H97" s="102">
        <v>0.8136</v>
      </c>
      <c r="I97" s="102">
        <v>0.8523</v>
      </c>
      <c r="J97" s="102">
        <v>0.8209</v>
      </c>
      <c r="K97" s="102">
        <v>0.8001</v>
      </c>
      <c r="L97" s="102">
        <v>0.8424</v>
      </c>
      <c r="M97" s="102">
        <v>0.8149</v>
      </c>
      <c r="N97" s="102">
        <v>0.7948</v>
      </c>
    </row>
    <row r="98" s="62" customFormat="1" ht="15" spans="1:14">
      <c r="A98" s="98"/>
      <c r="B98" s="99">
        <v>24</v>
      </c>
      <c r="C98" s="100">
        <v>0.8723</v>
      </c>
      <c r="D98" s="101">
        <v>0.8472</v>
      </c>
      <c r="E98" s="101">
        <v>0.8464</v>
      </c>
      <c r="F98" s="100">
        <v>0.8623</v>
      </c>
      <c r="G98" s="102">
        <v>0.8606</v>
      </c>
      <c r="H98" s="102">
        <v>0.8477</v>
      </c>
      <c r="I98" s="102">
        <v>0.8467</v>
      </c>
      <c r="J98" s="102">
        <v>0.824</v>
      </c>
      <c r="K98" s="102">
        <v>0.8059</v>
      </c>
      <c r="L98" s="102">
        <v>0.84</v>
      </c>
      <c r="M98" s="102">
        <v>0.8194</v>
      </c>
      <c r="N98" s="102">
        <v>0.7982</v>
      </c>
    </row>
    <row r="99" s="62" customFormat="1" ht="15" spans="1:14">
      <c r="A99" s="98"/>
      <c r="B99" s="99">
        <v>25</v>
      </c>
      <c r="C99" s="100">
        <v>0.8699</v>
      </c>
      <c r="D99" s="101">
        <v>0.8498</v>
      </c>
      <c r="E99" s="101">
        <v>0.8485</v>
      </c>
      <c r="F99" s="100">
        <v>0.856</v>
      </c>
      <c r="G99" s="102">
        <v>0.8618</v>
      </c>
      <c r="H99" s="102">
        <v>0.8634</v>
      </c>
      <c r="I99" s="102">
        <v>0.8462</v>
      </c>
      <c r="J99" s="102">
        <v>0.819</v>
      </c>
      <c r="K99" s="102">
        <v>0.8045</v>
      </c>
      <c r="L99" s="102">
        <v>0.8405</v>
      </c>
      <c r="M99" s="102">
        <v>0.8193</v>
      </c>
      <c r="N99" s="102">
        <v>0.8014</v>
      </c>
    </row>
    <row r="101" ht="16.2" spans="2:2">
      <c r="B101" s="84"/>
    </row>
    <row r="102" s="62" customFormat="1" ht="15" spans="1:14">
      <c r="A102" s="98">
        <v>0.45</v>
      </c>
      <c r="B102" s="99">
        <v>6</v>
      </c>
      <c r="C102" s="100">
        <v>0.8062</v>
      </c>
      <c r="D102" s="101">
        <v>0.799</v>
      </c>
      <c r="E102" s="101">
        <v>0.7927</v>
      </c>
      <c r="F102" s="100">
        <v>0.8269</v>
      </c>
      <c r="G102" s="102">
        <v>0.8188</v>
      </c>
      <c r="H102" s="102">
        <v>0.8083</v>
      </c>
      <c r="I102" s="102">
        <v>0.8409</v>
      </c>
      <c r="J102" s="102">
        <v>0.8326</v>
      </c>
      <c r="K102" s="102">
        <v>0.8228</v>
      </c>
      <c r="L102" s="102">
        <v>0.8511</v>
      </c>
      <c r="M102" s="102">
        <v>0.8406</v>
      </c>
      <c r="N102" s="102">
        <v>0.8248</v>
      </c>
    </row>
    <row r="103" s="62" customFormat="1" ht="15" spans="1:14">
      <c r="A103" s="98"/>
      <c r="B103" s="99">
        <v>7</v>
      </c>
      <c r="C103" s="100">
        <v>0.8181</v>
      </c>
      <c r="D103" s="101">
        <v>0.8091</v>
      </c>
      <c r="E103" s="101">
        <v>0.8022</v>
      </c>
      <c r="F103" s="100">
        <v>0.8365</v>
      </c>
      <c r="G103" s="102">
        <v>0.8272</v>
      </c>
      <c r="H103" s="102">
        <v>0.8211</v>
      </c>
      <c r="I103" s="102">
        <v>0.8497</v>
      </c>
      <c r="J103" s="102">
        <v>0.8432</v>
      </c>
      <c r="K103" s="102">
        <v>0.8271</v>
      </c>
      <c r="L103" s="102">
        <v>0.8578</v>
      </c>
      <c r="M103" s="102">
        <v>0.846</v>
      </c>
      <c r="N103" s="102">
        <v>0.8281</v>
      </c>
    </row>
    <row r="104" s="62" customFormat="1" ht="15" spans="1:14">
      <c r="A104" s="98"/>
      <c r="B104" s="99">
        <v>8</v>
      </c>
      <c r="C104" s="100">
        <v>0.8271</v>
      </c>
      <c r="D104" s="101">
        <v>0.8177</v>
      </c>
      <c r="E104" s="101">
        <v>0.8076</v>
      </c>
      <c r="F104" s="100">
        <v>0.8429</v>
      </c>
      <c r="G104" s="102">
        <v>0.8325</v>
      </c>
      <c r="H104" s="102">
        <v>0.8232</v>
      </c>
      <c r="I104" s="102">
        <v>0.8553</v>
      </c>
      <c r="J104" s="102">
        <v>0.8455</v>
      </c>
      <c r="K104" s="102">
        <v>0.8293</v>
      </c>
      <c r="L104" s="102">
        <v>0.8656</v>
      </c>
      <c r="M104" s="102">
        <v>0.8462</v>
      </c>
      <c r="N104" s="102">
        <v>0.8327</v>
      </c>
    </row>
    <row r="105" s="62" customFormat="1" ht="15" spans="1:14">
      <c r="A105" s="98"/>
      <c r="B105" s="99">
        <v>9</v>
      </c>
      <c r="C105" s="100">
        <v>0.8339</v>
      </c>
      <c r="D105" s="101">
        <v>0.8229</v>
      </c>
      <c r="E105" s="101">
        <v>0.8126</v>
      </c>
      <c r="F105" s="100">
        <v>0.8483</v>
      </c>
      <c r="G105" s="102">
        <v>0.8442</v>
      </c>
      <c r="H105" s="102">
        <v>0.8295</v>
      </c>
      <c r="I105" s="102">
        <v>0.8618</v>
      </c>
      <c r="J105" s="102">
        <v>0.8492</v>
      </c>
      <c r="K105" s="102">
        <v>0.8335</v>
      </c>
      <c r="L105" s="102">
        <v>0.8722</v>
      </c>
      <c r="M105" s="102">
        <v>0.8523</v>
      </c>
      <c r="N105" s="102">
        <v>0.8326</v>
      </c>
    </row>
    <row r="106" s="62" customFormat="1" ht="15" spans="1:14">
      <c r="A106" s="98"/>
      <c r="B106" s="99">
        <v>10</v>
      </c>
      <c r="C106" s="100">
        <v>0.8398</v>
      </c>
      <c r="D106" s="101">
        <v>0.8309</v>
      </c>
      <c r="E106" s="101">
        <v>0.8214</v>
      </c>
      <c r="F106" s="100">
        <v>0.8536</v>
      </c>
      <c r="G106" s="102">
        <v>0.847</v>
      </c>
      <c r="H106" s="102">
        <v>0.8293</v>
      </c>
      <c r="I106" s="102">
        <v>0.8684</v>
      </c>
      <c r="J106" s="102">
        <v>0.8537</v>
      </c>
      <c r="K106" s="102">
        <v>0.8361</v>
      </c>
      <c r="L106" s="102">
        <v>0.8752</v>
      </c>
      <c r="M106" s="102">
        <v>0.8536</v>
      </c>
      <c r="N106" s="102">
        <v>0.8315</v>
      </c>
    </row>
    <row r="107" s="62" customFormat="1" ht="15" spans="1:14">
      <c r="A107" s="98"/>
      <c r="B107" s="99">
        <v>11</v>
      </c>
      <c r="C107" s="100">
        <v>0.8444</v>
      </c>
      <c r="D107" s="101">
        <v>0.8341</v>
      </c>
      <c r="E107" s="101">
        <v>0.827</v>
      </c>
      <c r="F107" s="100">
        <v>0.8651</v>
      </c>
      <c r="G107" s="102">
        <v>0.8494</v>
      </c>
      <c r="H107" s="102">
        <v>0.8323</v>
      </c>
      <c r="I107" s="102">
        <v>0.8724</v>
      </c>
      <c r="J107" s="102">
        <v>0.8551</v>
      </c>
      <c r="K107" s="102">
        <v>0.8365</v>
      </c>
      <c r="L107" s="102">
        <v>0.8762</v>
      </c>
      <c r="M107" s="102">
        <v>0.853</v>
      </c>
      <c r="N107" s="102">
        <v>0.8284</v>
      </c>
    </row>
    <row r="108" s="62" customFormat="1" ht="15" spans="1:14">
      <c r="A108" s="98"/>
      <c r="B108" s="99">
        <v>12</v>
      </c>
      <c r="C108" s="100">
        <v>0.8482</v>
      </c>
      <c r="D108" s="101">
        <v>0.841</v>
      </c>
      <c r="E108" s="101">
        <v>0.8297</v>
      </c>
      <c r="F108" s="100">
        <v>0.8679</v>
      </c>
      <c r="G108" s="102">
        <v>0.8508</v>
      </c>
      <c r="H108" s="102">
        <v>0.8356</v>
      </c>
      <c r="I108" s="102">
        <v>0.8733</v>
      </c>
      <c r="J108" s="102">
        <v>0.8541</v>
      </c>
      <c r="K108" s="102">
        <v>0.832</v>
      </c>
      <c r="L108" s="102">
        <v>0.8796</v>
      </c>
      <c r="M108" s="102">
        <v>0.8553</v>
      </c>
      <c r="N108" s="102">
        <v>0.8226</v>
      </c>
    </row>
    <row r="109" s="62" customFormat="1" ht="15" spans="1:14">
      <c r="A109" s="98"/>
      <c r="B109" s="99">
        <v>13</v>
      </c>
      <c r="C109" s="100">
        <v>0.8588</v>
      </c>
      <c r="D109" s="101">
        <v>0.846</v>
      </c>
      <c r="E109" s="101">
        <v>0.8322</v>
      </c>
      <c r="F109" s="100">
        <v>0.8737</v>
      </c>
      <c r="G109" s="102">
        <v>0.8552</v>
      </c>
      <c r="H109" s="102">
        <v>0.8406</v>
      </c>
      <c r="I109" s="102">
        <v>0.8769</v>
      </c>
      <c r="J109" s="102">
        <v>0.862</v>
      </c>
      <c r="K109" s="102">
        <v>0.8396</v>
      </c>
      <c r="L109" s="102">
        <v>0.8836</v>
      </c>
      <c r="M109" s="102">
        <v>0.8586</v>
      </c>
      <c r="N109" s="102">
        <v>0.8213</v>
      </c>
    </row>
    <row r="110" s="62" customFormat="1" ht="15" spans="1:14">
      <c r="A110" s="98"/>
      <c r="B110" s="99">
        <v>14</v>
      </c>
      <c r="C110" s="100">
        <v>0.861</v>
      </c>
      <c r="D110" s="101">
        <v>0.8489</v>
      </c>
      <c r="E110" s="101">
        <v>0.8341</v>
      </c>
      <c r="F110" s="100">
        <v>0.8739</v>
      </c>
      <c r="G110" s="102">
        <v>0.8559</v>
      </c>
      <c r="H110" s="102">
        <v>0.8387</v>
      </c>
      <c r="I110" s="102">
        <v>0.8807</v>
      </c>
      <c r="J110" s="102">
        <v>0.8629</v>
      </c>
      <c r="K110" s="102">
        <v>0.8312</v>
      </c>
      <c r="L110" s="102">
        <v>0.8842</v>
      </c>
      <c r="M110" s="102">
        <v>0.8504</v>
      </c>
      <c r="N110" s="102">
        <v>0.8138</v>
      </c>
    </row>
    <row r="111" s="62" customFormat="1" ht="15" spans="1:14">
      <c r="A111" s="98"/>
      <c r="B111" s="99">
        <v>15</v>
      </c>
      <c r="C111" s="100">
        <v>0.8677</v>
      </c>
      <c r="D111" s="101">
        <v>0.8545</v>
      </c>
      <c r="E111" s="101">
        <v>0.8362</v>
      </c>
      <c r="F111" s="100">
        <v>0.8758</v>
      </c>
      <c r="G111" s="102">
        <v>0.8604</v>
      </c>
      <c r="H111" s="102">
        <v>0.8419</v>
      </c>
      <c r="I111" s="102">
        <v>0.8811</v>
      </c>
      <c r="J111" s="102">
        <v>0.86</v>
      </c>
      <c r="K111" s="102">
        <v>0.8254</v>
      </c>
      <c r="L111" s="102">
        <v>0.8845</v>
      </c>
      <c r="M111" s="102">
        <v>0.8453</v>
      </c>
      <c r="N111" s="102">
        <v>0.8094</v>
      </c>
    </row>
    <row r="112" s="62" customFormat="1" ht="15" spans="1:14">
      <c r="A112" s="98"/>
      <c r="B112" s="99">
        <v>16</v>
      </c>
      <c r="C112" s="100">
        <v>0.8696</v>
      </c>
      <c r="D112" s="101">
        <v>0.8548</v>
      </c>
      <c r="E112" s="101">
        <v>0.8409</v>
      </c>
      <c r="F112" s="100">
        <v>0.8792</v>
      </c>
      <c r="G112" s="102">
        <v>0.8585</v>
      </c>
      <c r="H112" s="102">
        <v>0.8361</v>
      </c>
      <c r="I112" s="102">
        <v>0.8829</v>
      </c>
      <c r="J112" s="102">
        <v>0.8588</v>
      </c>
      <c r="K112" s="102">
        <v>0.8266</v>
      </c>
      <c r="L112" s="102">
        <v>0.8861</v>
      </c>
      <c r="M112" s="102">
        <v>0.8395</v>
      </c>
      <c r="N112" s="102">
        <v>0.7979</v>
      </c>
    </row>
    <row r="113" s="62" customFormat="1" ht="15" spans="1:14">
      <c r="A113" s="98"/>
      <c r="B113" s="99">
        <v>17</v>
      </c>
      <c r="C113" s="100">
        <v>0.871</v>
      </c>
      <c r="D113" s="101">
        <v>0.8554</v>
      </c>
      <c r="E113" s="101">
        <v>0.8421</v>
      </c>
      <c r="F113" s="100">
        <v>0.8806</v>
      </c>
      <c r="G113" s="102">
        <v>0.8591</v>
      </c>
      <c r="H113" s="102">
        <v>0.8252</v>
      </c>
      <c r="I113" s="102">
        <v>0.8813</v>
      </c>
      <c r="J113" s="102">
        <v>0.8443</v>
      </c>
      <c r="K113" s="102">
        <v>0.8189</v>
      </c>
      <c r="L113" s="102">
        <v>0.8824</v>
      </c>
      <c r="M113" s="102">
        <v>0.8358</v>
      </c>
      <c r="N113" s="102">
        <v>0.7955</v>
      </c>
    </row>
    <row r="114" s="62" customFormat="1" ht="15" spans="1:14">
      <c r="A114" s="98"/>
      <c r="B114" s="99">
        <v>18</v>
      </c>
      <c r="C114" s="100">
        <v>0.8724</v>
      </c>
      <c r="D114" s="101">
        <v>0.8561</v>
      </c>
      <c r="E114" s="101">
        <v>0.8385</v>
      </c>
      <c r="F114" s="100">
        <v>0.8793</v>
      </c>
      <c r="G114" s="102">
        <v>0.8616</v>
      </c>
      <c r="H114" s="102">
        <v>0.8381</v>
      </c>
      <c r="I114" s="102">
        <v>0.885</v>
      </c>
      <c r="J114" s="102">
        <v>0.8533</v>
      </c>
      <c r="K114" s="102">
        <v>0.8107</v>
      </c>
      <c r="L114" s="102">
        <v>0.8744</v>
      </c>
      <c r="M114" s="102">
        <v>0.8304</v>
      </c>
      <c r="N114" s="102">
        <v>0.7903</v>
      </c>
    </row>
    <row r="115" s="62" customFormat="1" ht="15" spans="1:14">
      <c r="A115" s="98"/>
      <c r="B115" s="99">
        <v>19</v>
      </c>
      <c r="C115" s="100">
        <v>0.8779</v>
      </c>
      <c r="D115" s="101">
        <v>0.8566</v>
      </c>
      <c r="E115" s="101">
        <v>0.8408</v>
      </c>
      <c r="F115" s="100">
        <v>0.8812</v>
      </c>
      <c r="G115" s="102">
        <v>0.8537</v>
      </c>
      <c r="H115" s="102">
        <v>0.8403</v>
      </c>
      <c r="I115" s="102">
        <v>0.8832</v>
      </c>
      <c r="J115" s="102">
        <v>0.8589</v>
      </c>
      <c r="K115" s="102">
        <v>0.8023</v>
      </c>
      <c r="L115" s="102">
        <v>0.8752</v>
      </c>
      <c r="M115" s="102">
        <v>0.8246</v>
      </c>
      <c r="N115" s="102">
        <v>0.7892</v>
      </c>
    </row>
    <row r="116" s="62" customFormat="1" ht="15" spans="1:14">
      <c r="A116" s="98"/>
      <c r="B116" s="99">
        <v>20</v>
      </c>
      <c r="C116" s="100">
        <v>0.8779</v>
      </c>
      <c r="D116" s="101">
        <v>0.8613</v>
      </c>
      <c r="E116" s="101">
        <v>0.8335</v>
      </c>
      <c r="F116" s="100">
        <v>0.8834</v>
      </c>
      <c r="G116" s="102">
        <v>0.8408</v>
      </c>
      <c r="H116" s="102">
        <v>0.8407</v>
      </c>
      <c r="I116" s="102">
        <v>0.8762</v>
      </c>
      <c r="J116" s="102">
        <v>0.842</v>
      </c>
      <c r="K116" s="102">
        <v>0.801</v>
      </c>
      <c r="L116" s="102">
        <v>0.8671</v>
      </c>
      <c r="M116" s="102">
        <v>0.8206</v>
      </c>
      <c r="N116" s="102">
        <v>0.789</v>
      </c>
    </row>
    <row r="117" s="62" customFormat="1" ht="15" spans="1:14">
      <c r="A117" s="98"/>
      <c r="B117" s="99">
        <v>21</v>
      </c>
      <c r="C117" s="100">
        <v>0.8776</v>
      </c>
      <c r="D117" s="101">
        <v>0.8597</v>
      </c>
      <c r="E117" s="101">
        <v>0.8232</v>
      </c>
      <c r="F117" s="100">
        <v>0.8826</v>
      </c>
      <c r="G117" s="102">
        <v>0.8516</v>
      </c>
      <c r="H117" s="102">
        <v>0.845</v>
      </c>
      <c r="I117" s="102">
        <v>0.8733</v>
      </c>
      <c r="J117" s="102">
        <v>0.837</v>
      </c>
      <c r="K117" s="102">
        <v>0.7998</v>
      </c>
      <c r="L117" s="102">
        <v>0.8661</v>
      </c>
      <c r="M117" s="102">
        <v>0.8191</v>
      </c>
      <c r="N117" s="102">
        <v>0.7567</v>
      </c>
    </row>
    <row r="118" s="62" customFormat="1" ht="15" spans="1:14">
      <c r="A118" s="98"/>
      <c r="B118" s="99">
        <v>22</v>
      </c>
      <c r="C118" s="100">
        <v>0.8789</v>
      </c>
      <c r="D118" s="101">
        <v>0.8561</v>
      </c>
      <c r="E118" s="101">
        <v>0.8383</v>
      </c>
      <c r="F118" s="100">
        <v>0.88</v>
      </c>
      <c r="G118" s="102">
        <v>0.8536</v>
      </c>
      <c r="H118" s="102">
        <v>0.8476</v>
      </c>
      <c r="I118" s="102">
        <v>0.8718</v>
      </c>
      <c r="J118" s="102">
        <v>0.835</v>
      </c>
      <c r="K118" s="102">
        <v>0.8083</v>
      </c>
      <c r="L118" s="102">
        <v>0.8613</v>
      </c>
      <c r="M118" s="102">
        <v>0.8187</v>
      </c>
      <c r="N118" s="102">
        <v>0.7891</v>
      </c>
    </row>
    <row r="119" s="62" customFormat="1" ht="15" spans="1:14">
      <c r="A119" s="98"/>
      <c r="B119" s="99">
        <v>23</v>
      </c>
      <c r="C119" s="100">
        <v>0.8788</v>
      </c>
      <c r="D119" s="101">
        <v>0.8542</v>
      </c>
      <c r="E119" s="101">
        <v>0.8381</v>
      </c>
      <c r="F119" s="100">
        <v>0.8778</v>
      </c>
      <c r="G119" s="102">
        <v>0.8584</v>
      </c>
      <c r="H119" s="102">
        <v>0.8493</v>
      </c>
      <c r="I119" s="102">
        <v>0.866</v>
      </c>
      <c r="J119" s="102">
        <v>0.8295</v>
      </c>
      <c r="K119" s="102">
        <v>0.8075</v>
      </c>
      <c r="L119" s="102">
        <v>0.8547</v>
      </c>
      <c r="M119" s="102">
        <v>0.8189</v>
      </c>
      <c r="N119" s="102">
        <v>0.795</v>
      </c>
    </row>
    <row r="120" s="62" customFormat="1" ht="15" spans="1:14">
      <c r="A120" s="98"/>
      <c r="B120" s="99">
        <v>24</v>
      </c>
      <c r="C120" s="100">
        <v>0.8784</v>
      </c>
      <c r="D120" s="101">
        <v>0.8447</v>
      </c>
      <c r="E120" s="101">
        <v>0.8399</v>
      </c>
      <c r="F120" s="100">
        <v>0.8746</v>
      </c>
      <c r="G120" s="102">
        <v>0.8582</v>
      </c>
      <c r="H120" s="102">
        <v>0.8437</v>
      </c>
      <c r="I120" s="102">
        <v>0.8609</v>
      </c>
      <c r="J120" s="102">
        <v>0.8284</v>
      </c>
      <c r="K120" s="102">
        <v>0.8048</v>
      </c>
      <c r="L120" s="102">
        <v>0.8502</v>
      </c>
      <c r="M120" s="102">
        <v>0.8208</v>
      </c>
      <c r="N120" s="102">
        <v>0.7904</v>
      </c>
    </row>
    <row r="121" s="62" customFormat="1" ht="15" spans="1:14">
      <c r="A121" s="98"/>
      <c r="B121" s="99">
        <v>25</v>
      </c>
      <c r="C121" s="100">
        <v>0.881</v>
      </c>
      <c r="D121" s="101">
        <v>0.8407</v>
      </c>
      <c r="E121" s="101">
        <v>0.8443</v>
      </c>
      <c r="F121" s="100">
        <v>0.8706</v>
      </c>
      <c r="G121" s="102">
        <v>0.8603</v>
      </c>
      <c r="H121" s="102">
        <v>0.8286</v>
      </c>
      <c r="I121" s="102">
        <v>0.8589</v>
      </c>
      <c r="J121" s="102">
        <v>0.828</v>
      </c>
      <c r="K121" s="102">
        <v>0.804</v>
      </c>
      <c r="L121" s="102">
        <v>0.8498</v>
      </c>
      <c r="M121" s="102">
        <v>0.8211</v>
      </c>
      <c r="N121" s="102">
        <v>0.7901</v>
      </c>
    </row>
    <row r="124" ht="15" spans="1:14">
      <c r="A124" s="98">
        <v>0.4</v>
      </c>
      <c r="B124" s="99">
        <v>6</v>
      </c>
      <c r="C124" s="100">
        <v>0.7876</v>
      </c>
      <c r="D124" s="101">
        <v>0.7856</v>
      </c>
      <c r="E124" s="101">
        <v>0.7813</v>
      </c>
      <c r="F124" s="100">
        <v>0.8134</v>
      </c>
      <c r="G124" s="102">
        <v>0.8067</v>
      </c>
      <c r="H124" s="102">
        <v>0.7977</v>
      </c>
      <c r="I124" s="102">
        <v>0.8344</v>
      </c>
      <c r="J124" s="102">
        <v>0.8255</v>
      </c>
      <c r="K124" s="102">
        <v>0.8132</v>
      </c>
      <c r="L124" s="102">
        <v>0.844</v>
      </c>
      <c r="M124" s="102">
        <v>0.8352</v>
      </c>
      <c r="N124" s="102">
        <v>0.8259</v>
      </c>
    </row>
    <row r="125" ht="15" spans="1:14">
      <c r="A125" s="98"/>
      <c r="B125" s="99">
        <v>7</v>
      </c>
      <c r="C125" s="100">
        <v>0.8046</v>
      </c>
      <c r="D125" s="101">
        <v>0.7974</v>
      </c>
      <c r="E125" s="101">
        <v>0.791</v>
      </c>
      <c r="F125" s="100">
        <v>0.8257</v>
      </c>
      <c r="G125" s="102">
        <v>0.8162</v>
      </c>
      <c r="H125" s="102">
        <v>0.8059</v>
      </c>
      <c r="I125" s="102">
        <v>0.8441</v>
      </c>
      <c r="J125" s="102">
        <v>0.8335</v>
      </c>
      <c r="K125" s="102">
        <v>0.8232</v>
      </c>
      <c r="L125" s="102">
        <v>0.8523</v>
      </c>
      <c r="M125" s="102">
        <v>0.8445</v>
      </c>
      <c r="N125" s="102">
        <v>0.829</v>
      </c>
    </row>
    <row r="126" ht="15" spans="1:14">
      <c r="A126" s="98"/>
      <c r="B126" s="99">
        <v>8</v>
      </c>
      <c r="C126" s="100">
        <v>0.8145</v>
      </c>
      <c r="D126" s="101">
        <v>0.8055</v>
      </c>
      <c r="E126" s="101">
        <v>0.7975</v>
      </c>
      <c r="F126" s="100">
        <v>0.8333</v>
      </c>
      <c r="G126" s="102">
        <v>0.8232</v>
      </c>
      <c r="H126" s="102">
        <v>0.8157</v>
      </c>
      <c r="I126" s="102">
        <v>0.8502</v>
      </c>
      <c r="J126" s="102">
        <v>0.8413</v>
      </c>
      <c r="K126" s="102">
        <v>0.8293</v>
      </c>
      <c r="L126" s="102">
        <v>0.857</v>
      </c>
      <c r="M126" s="102">
        <v>0.8477</v>
      </c>
      <c r="N126" s="102">
        <v>0.8304</v>
      </c>
    </row>
    <row r="127" ht="15" spans="1:14">
      <c r="A127" s="98"/>
      <c r="B127" s="99">
        <v>9</v>
      </c>
      <c r="C127" s="100">
        <v>0.8222</v>
      </c>
      <c r="D127" s="101">
        <v>0.8159</v>
      </c>
      <c r="E127" s="101">
        <v>0.8026</v>
      </c>
      <c r="F127" s="100">
        <v>0.8387</v>
      </c>
      <c r="G127" s="102">
        <v>0.8274</v>
      </c>
      <c r="H127" s="102">
        <v>0.8188</v>
      </c>
      <c r="I127" s="102">
        <v>0.8551</v>
      </c>
      <c r="J127" s="102">
        <v>0.8444</v>
      </c>
      <c r="K127" s="102">
        <v>0.8297</v>
      </c>
      <c r="L127" s="102">
        <v>0.8652</v>
      </c>
      <c r="M127" s="102">
        <v>0.8537</v>
      </c>
      <c r="N127" s="102">
        <v>0.8363</v>
      </c>
    </row>
    <row r="128" ht="15" spans="1:14">
      <c r="A128" s="98"/>
      <c r="B128" s="99">
        <v>10</v>
      </c>
      <c r="C128" s="100">
        <v>0.8284</v>
      </c>
      <c r="D128" s="101">
        <v>0.8209</v>
      </c>
      <c r="E128" s="101">
        <v>0.8105</v>
      </c>
      <c r="F128" s="100">
        <v>0.8437</v>
      </c>
      <c r="G128" s="102">
        <v>0.8378</v>
      </c>
      <c r="H128" s="102">
        <v>0.8257</v>
      </c>
      <c r="I128" s="102">
        <v>0.8656</v>
      </c>
      <c r="J128" s="102">
        <v>0.8512</v>
      </c>
      <c r="K128" s="102">
        <v>0.8315</v>
      </c>
      <c r="L128" s="102">
        <v>0.8711</v>
      </c>
      <c r="M128" s="102">
        <v>0.8556</v>
      </c>
      <c r="N128" s="102">
        <v>0.8371</v>
      </c>
    </row>
    <row r="129" ht="15" spans="1:14">
      <c r="A129" s="98"/>
      <c r="B129" s="99">
        <v>11</v>
      </c>
      <c r="C129" s="100">
        <v>0.8329</v>
      </c>
      <c r="D129" s="101">
        <v>0.8255</v>
      </c>
      <c r="E129" s="101">
        <v>0.8186</v>
      </c>
      <c r="F129" s="100">
        <v>0.8505</v>
      </c>
      <c r="G129" s="102">
        <v>0.8403</v>
      </c>
      <c r="H129" s="102">
        <v>0.8268</v>
      </c>
      <c r="I129" s="102">
        <v>0.8682</v>
      </c>
      <c r="J129" s="102">
        <v>0.8518</v>
      </c>
      <c r="K129" s="102">
        <v>0.8361</v>
      </c>
      <c r="L129" s="102">
        <v>0.8735</v>
      </c>
      <c r="M129" s="102">
        <v>0.8544</v>
      </c>
      <c r="N129" s="102">
        <v>0.8358</v>
      </c>
    </row>
    <row r="130" ht="15" spans="1:14">
      <c r="A130" s="98"/>
      <c r="B130" s="99">
        <v>12</v>
      </c>
      <c r="C130" s="100">
        <v>0.8399</v>
      </c>
      <c r="D130" s="101">
        <v>0.8286</v>
      </c>
      <c r="E130" s="101">
        <v>0.822</v>
      </c>
      <c r="F130" s="100">
        <v>0.8579</v>
      </c>
      <c r="G130" s="102">
        <v>0.8443</v>
      </c>
      <c r="H130" s="102">
        <v>0.8275</v>
      </c>
      <c r="I130" s="102">
        <v>0.8707</v>
      </c>
      <c r="J130" s="102">
        <v>0.8558</v>
      </c>
      <c r="K130" s="102">
        <v>0.8366</v>
      </c>
      <c r="L130" s="102">
        <v>0.8739</v>
      </c>
      <c r="M130" s="102">
        <v>0.855</v>
      </c>
      <c r="N130" s="102">
        <v>0.8336</v>
      </c>
    </row>
    <row r="131" ht="15" spans="1:14">
      <c r="A131" s="98"/>
      <c r="B131" s="99">
        <v>13</v>
      </c>
      <c r="C131" s="100">
        <v>0.8429</v>
      </c>
      <c r="D131" s="101">
        <v>0.8342</v>
      </c>
      <c r="E131" s="101">
        <v>0.8216</v>
      </c>
      <c r="F131" s="100">
        <v>0.8603</v>
      </c>
      <c r="G131" s="102">
        <v>0.8443</v>
      </c>
      <c r="H131" s="102">
        <v>0.8298</v>
      </c>
      <c r="I131" s="102">
        <v>0.8744</v>
      </c>
      <c r="J131" s="102">
        <v>0.8552</v>
      </c>
      <c r="K131" s="102">
        <v>0.8316</v>
      </c>
      <c r="L131" s="102">
        <v>0.8745</v>
      </c>
      <c r="M131" s="102">
        <v>0.8539</v>
      </c>
      <c r="N131" s="102">
        <v>0.8271</v>
      </c>
    </row>
    <row r="132" ht="15" spans="1:14">
      <c r="A132" s="98"/>
      <c r="B132" s="99">
        <v>14</v>
      </c>
      <c r="C132" s="100">
        <v>0.8507</v>
      </c>
      <c r="D132" s="101">
        <v>0.8416</v>
      </c>
      <c r="E132" s="101">
        <v>0.8301</v>
      </c>
      <c r="F132" s="100">
        <v>0.8663</v>
      </c>
      <c r="G132" s="102">
        <v>0.851</v>
      </c>
      <c r="H132" s="102">
        <v>0.8361</v>
      </c>
      <c r="I132" s="102">
        <v>0.8773</v>
      </c>
      <c r="J132" s="102">
        <v>0.8602</v>
      </c>
      <c r="K132" s="102">
        <v>0.8415</v>
      </c>
      <c r="L132" s="102">
        <v>0.8826</v>
      </c>
      <c r="M132" s="102">
        <v>0.8632</v>
      </c>
      <c r="N132" s="102">
        <v>0.8295</v>
      </c>
    </row>
    <row r="133" ht="15" spans="1:14">
      <c r="A133" s="98"/>
      <c r="B133" s="99">
        <v>15</v>
      </c>
      <c r="C133" s="100">
        <v>0.8541</v>
      </c>
      <c r="D133" s="101">
        <v>0.8461</v>
      </c>
      <c r="E133" s="101">
        <v>0.8311</v>
      </c>
      <c r="F133" s="100">
        <v>0.8706</v>
      </c>
      <c r="G133" s="102">
        <v>0.8525</v>
      </c>
      <c r="H133" s="102">
        <v>0.8352</v>
      </c>
      <c r="I133" s="102">
        <v>0.8791</v>
      </c>
      <c r="J133" s="102">
        <v>0.8615</v>
      </c>
      <c r="K133" s="102">
        <v>0.8379</v>
      </c>
      <c r="L133" s="102">
        <v>0.8832</v>
      </c>
      <c r="M133" s="102">
        <v>0.8628</v>
      </c>
      <c r="N133" s="102">
        <v>0.8203</v>
      </c>
    </row>
    <row r="134" ht="15" spans="1:14">
      <c r="A134" s="98"/>
      <c r="B134" s="99">
        <v>16</v>
      </c>
      <c r="C134" s="100">
        <v>0.8628</v>
      </c>
      <c r="D134" s="101">
        <v>0.8486</v>
      </c>
      <c r="E134" s="101">
        <v>0.8321</v>
      </c>
      <c r="F134" s="100">
        <v>0.871</v>
      </c>
      <c r="G134" s="102">
        <v>0.8524</v>
      </c>
      <c r="H134" s="102">
        <v>0.8349</v>
      </c>
      <c r="I134" s="102">
        <v>0.884</v>
      </c>
      <c r="J134" s="102">
        <v>0.8619</v>
      </c>
      <c r="K134" s="102">
        <v>0.8292</v>
      </c>
      <c r="L134" s="102">
        <v>0.8837</v>
      </c>
      <c r="M134" s="102">
        <v>0.8508</v>
      </c>
      <c r="N134" s="102">
        <v>0.8193</v>
      </c>
    </row>
    <row r="135" ht="15" spans="1:14">
      <c r="A135" s="98"/>
      <c r="B135" s="99">
        <v>17</v>
      </c>
      <c r="C135" s="100">
        <v>0.8645</v>
      </c>
      <c r="D135" s="101">
        <v>0.8491</v>
      </c>
      <c r="E135" s="101">
        <v>0.8327</v>
      </c>
      <c r="F135" s="100">
        <v>0.8709</v>
      </c>
      <c r="G135" s="102">
        <v>0.8528</v>
      </c>
      <c r="H135" s="102">
        <v>0.8367</v>
      </c>
      <c r="I135" s="102">
        <v>0.8825</v>
      </c>
      <c r="J135" s="102">
        <v>0.8599</v>
      </c>
      <c r="K135" s="102">
        <v>0.8263</v>
      </c>
      <c r="L135" s="102">
        <v>0.8845</v>
      </c>
      <c r="M135" s="102">
        <v>0.8453</v>
      </c>
      <c r="N135" s="102">
        <v>0.8127</v>
      </c>
    </row>
    <row r="136" ht="15" spans="1:14">
      <c r="A136" s="98"/>
      <c r="B136" s="99">
        <v>18</v>
      </c>
      <c r="C136" s="100">
        <v>0.8656</v>
      </c>
      <c r="D136" s="101">
        <v>0.8499</v>
      </c>
      <c r="E136" s="101">
        <v>0.8337</v>
      </c>
      <c r="F136" s="100">
        <v>0.8709</v>
      </c>
      <c r="G136" s="102">
        <v>0.853</v>
      </c>
      <c r="H136" s="102">
        <v>0.8285</v>
      </c>
      <c r="I136" s="102">
        <v>0.8841</v>
      </c>
      <c r="J136" s="102">
        <v>0.8573</v>
      </c>
      <c r="K136" s="102">
        <v>0.8261</v>
      </c>
      <c r="L136" s="102">
        <v>0.8814</v>
      </c>
      <c r="M136" s="102">
        <v>0.8411</v>
      </c>
      <c r="N136" s="102">
        <v>0.8036</v>
      </c>
    </row>
    <row r="137" ht="15" spans="1:14">
      <c r="A137" s="98"/>
      <c r="B137" s="99">
        <v>19</v>
      </c>
      <c r="C137" s="100">
        <v>0.8676</v>
      </c>
      <c r="D137" s="101">
        <v>0.8504</v>
      </c>
      <c r="E137" s="101">
        <v>0.8368</v>
      </c>
      <c r="F137" s="100">
        <v>0.8752</v>
      </c>
      <c r="G137" s="102">
        <v>0.8562</v>
      </c>
      <c r="H137" s="102">
        <v>0.824</v>
      </c>
      <c r="I137" s="102">
        <v>0.8808</v>
      </c>
      <c r="J137" s="102">
        <v>0.845</v>
      </c>
      <c r="K137" s="102">
        <v>0.8176</v>
      </c>
      <c r="L137" s="102">
        <v>0.8813</v>
      </c>
      <c r="M137" s="102">
        <v>0.838</v>
      </c>
      <c r="N137" s="102">
        <v>0.7968</v>
      </c>
    </row>
    <row r="138" ht="15" spans="1:14">
      <c r="A138" s="98"/>
      <c r="B138" s="99">
        <v>20</v>
      </c>
      <c r="C138" s="100">
        <v>0.8667</v>
      </c>
      <c r="D138" s="101">
        <v>0.8547</v>
      </c>
      <c r="E138" s="101">
        <v>0.8346</v>
      </c>
      <c r="F138" s="100">
        <v>0.8765</v>
      </c>
      <c r="G138" s="102">
        <v>0.855</v>
      </c>
      <c r="H138" s="102">
        <v>0.8326</v>
      </c>
      <c r="I138" s="102">
        <v>0.8869</v>
      </c>
      <c r="J138" s="102">
        <v>0.8497</v>
      </c>
      <c r="K138" s="102">
        <v>0.8142</v>
      </c>
      <c r="L138" s="102">
        <v>0.8754</v>
      </c>
      <c r="M138" s="102">
        <v>0.8318</v>
      </c>
      <c r="N138" s="102">
        <v>0.7954</v>
      </c>
    </row>
    <row r="139" ht="15" spans="1:14">
      <c r="A139" s="98"/>
      <c r="B139" s="99">
        <v>21</v>
      </c>
      <c r="C139" s="100">
        <v>0.8729</v>
      </c>
      <c r="D139" s="101">
        <v>0.8542</v>
      </c>
      <c r="E139" s="101">
        <v>0.8348</v>
      </c>
      <c r="F139" s="100">
        <v>0.8754</v>
      </c>
      <c r="G139" s="102">
        <v>0.8522</v>
      </c>
      <c r="H139" s="102">
        <v>0.8344</v>
      </c>
      <c r="I139" s="102">
        <v>0.8856</v>
      </c>
      <c r="J139" s="102">
        <v>0.8557</v>
      </c>
      <c r="K139" s="102">
        <v>0.8009</v>
      </c>
      <c r="L139" s="102">
        <v>0.8725</v>
      </c>
      <c r="M139" s="102">
        <v>0.8268</v>
      </c>
      <c r="N139" s="102">
        <v>0.7925</v>
      </c>
    </row>
    <row r="140" ht="15" spans="1:14">
      <c r="A140" s="98"/>
      <c r="B140" s="99">
        <v>22</v>
      </c>
      <c r="C140" s="100">
        <v>0.874</v>
      </c>
      <c r="D140" s="101">
        <v>0.8542</v>
      </c>
      <c r="E140" s="101">
        <v>0.8343</v>
      </c>
      <c r="F140" s="100">
        <v>0.8768</v>
      </c>
      <c r="G140" s="102">
        <v>0.8412</v>
      </c>
      <c r="H140" s="102">
        <v>0.837</v>
      </c>
      <c r="I140" s="102">
        <v>0.8821</v>
      </c>
      <c r="J140" s="102">
        <v>0.8555</v>
      </c>
      <c r="K140" s="102">
        <v>0.7996</v>
      </c>
      <c r="L140" s="102">
        <v>0.8663</v>
      </c>
      <c r="M140" s="102">
        <v>0.8278</v>
      </c>
      <c r="N140" s="102">
        <v>0.7933</v>
      </c>
    </row>
    <row r="141" ht="15" spans="1:14">
      <c r="A141" s="98"/>
      <c r="B141" s="99">
        <v>23</v>
      </c>
      <c r="C141" s="100">
        <v>0.872</v>
      </c>
      <c r="D141" s="101">
        <v>0.856</v>
      </c>
      <c r="E141" s="101">
        <v>0.8246</v>
      </c>
      <c r="F141" s="100">
        <v>0.8759</v>
      </c>
      <c r="G141" s="102">
        <v>0.8425</v>
      </c>
      <c r="H141" s="102">
        <v>0.8393</v>
      </c>
      <c r="I141" s="102">
        <v>0.8751</v>
      </c>
      <c r="J141" s="102">
        <v>0.8393</v>
      </c>
      <c r="K141" s="102">
        <v>0.7998</v>
      </c>
      <c r="L141" s="102">
        <v>0.8649</v>
      </c>
      <c r="M141" s="102">
        <v>0.8222</v>
      </c>
      <c r="N141" s="102">
        <v>0.8015</v>
      </c>
    </row>
    <row r="142" ht="15" spans="1:14">
      <c r="A142" s="98"/>
      <c r="B142" s="99">
        <v>24</v>
      </c>
      <c r="C142" s="100">
        <v>0.8732</v>
      </c>
      <c r="D142" s="101">
        <v>0.8535</v>
      </c>
      <c r="E142" s="101">
        <v>0.823</v>
      </c>
      <c r="F142" s="100">
        <v>0.8785</v>
      </c>
      <c r="G142" s="102">
        <v>0.8488</v>
      </c>
      <c r="H142" s="102">
        <v>0.8406</v>
      </c>
      <c r="I142" s="102">
        <v>0.8731</v>
      </c>
      <c r="J142" s="102">
        <v>0.8371</v>
      </c>
      <c r="K142" s="102">
        <v>0.8007</v>
      </c>
      <c r="L142" s="102">
        <v>0.8593</v>
      </c>
      <c r="M142" s="102">
        <v>0.8227</v>
      </c>
      <c r="N142" s="102">
        <v>0.7997</v>
      </c>
    </row>
    <row r="143" ht="15" spans="1:14">
      <c r="A143" s="98"/>
      <c r="B143" s="99">
        <v>25</v>
      </c>
      <c r="C143" s="100">
        <v>0.874</v>
      </c>
      <c r="D143" s="101">
        <v>0.8555</v>
      </c>
      <c r="E143" s="101">
        <v>0.8327</v>
      </c>
      <c r="F143" s="100">
        <v>0.8753</v>
      </c>
      <c r="G143" s="102">
        <v>0.8513</v>
      </c>
      <c r="H143" s="102">
        <v>0.8458</v>
      </c>
      <c r="I143" s="102">
        <v>0.8715</v>
      </c>
      <c r="J143" s="102">
        <v>0.8342</v>
      </c>
      <c r="K143" s="102">
        <v>0.8075</v>
      </c>
      <c r="L143" s="102">
        <v>0.8543</v>
      </c>
      <c r="M143" s="102">
        <v>0.8233</v>
      </c>
      <c r="N143" s="102">
        <v>0.796</v>
      </c>
    </row>
    <row r="146" ht="15" spans="1:14">
      <c r="A146" s="98">
        <v>0.35</v>
      </c>
      <c r="B146" s="99">
        <v>6</v>
      </c>
      <c r="C146" s="100">
        <v>0.7776</v>
      </c>
      <c r="D146" s="101">
        <v>0.7773</v>
      </c>
      <c r="E146" s="101">
        <v>0.7751</v>
      </c>
      <c r="F146" s="100">
        <v>0.8074</v>
      </c>
      <c r="G146" s="102">
        <v>0.801</v>
      </c>
      <c r="H146" s="102">
        <v>0.7944</v>
      </c>
      <c r="I146" s="102">
        <v>0.8251</v>
      </c>
      <c r="J146" s="102">
        <v>0.8176</v>
      </c>
      <c r="K146" s="102">
        <v>0.8056</v>
      </c>
      <c r="L146" s="102">
        <v>0.8366</v>
      </c>
      <c r="M146" s="102">
        <v>0.8281</v>
      </c>
      <c r="N146" s="102">
        <v>0.8189</v>
      </c>
    </row>
    <row r="147" ht="15" spans="1:14">
      <c r="A147" s="98"/>
      <c r="B147" s="99">
        <v>7</v>
      </c>
      <c r="C147" s="100">
        <v>0.7941</v>
      </c>
      <c r="D147" s="101">
        <v>0.7909</v>
      </c>
      <c r="E147" s="101">
        <v>0.7859</v>
      </c>
      <c r="F147" s="100">
        <v>0.8194</v>
      </c>
      <c r="G147" s="102">
        <v>0.8124</v>
      </c>
      <c r="H147" s="102">
        <v>0.8022</v>
      </c>
      <c r="I147" s="102">
        <v>0.8344</v>
      </c>
      <c r="J147" s="102">
        <v>0.8258</v>
      </c>
      <c r="K147" s="102">
        <v>0.8126</v>
      </c>
      <c r="L147" s="102">
        <v>0.8459</v>
      </c>
      <c r="M147" s="102">
        <v>0.8347</v>
      </c>
      <c r="N147" s="102">
        <v>0.825</v>
      </c>
    </row>
    <row r="148" ht="15" spans="1:14">
      <c r="A148" s="98"/>
      <c r="B148" s="99">
        <v>8</v>
      </c>
      <c r="C148" s="100">
        <v>0.8085</v>
      </c>
      <c r="D148" s="101">
        <v>0.8003</v>
      </c>
      <c r="E148" s="101">
        <v>0.7942</v>
      </c>
      <c r="F148" s="100">
        <v>0.8295</v>
      </c>
      <c r="G148" s="102">
        <v>0.82</v>
      </c>
      <c r="H148" s="102">
        <v>0.8091</v>
      </c>
      <c r="I148" s="102">
        <v>0.8422</v>
      </c>
      <c r="J148" s="102">
        <v>0.8325</v>
      </c>
      <c r="K148" s="102">
        <v>0.8216</v>
      </c>
      <c r="L148" s="102">
        <v>0.9592</v>
      </c>
      <c r="M148" s="102">
        <v>0.8422</v>
      </c>
      <c r="N148" s="102">
        <v>0.8272</v>
      </c>
    </row>
    <row r="149" ht="15" spans="1:14">
      <c r="A149" s="98"/>
      <c r="B149" s="99">
        <v>9</v>
      </c>
      <c r="C149" s="100">
        <v>0.817</v>
      </c>
      <c r="D149" s="101">
        <v>0.8079</v>
      </c>
      <c r="E149" s="101">
        <v>0.8004</v>
      </c>
      <c r="F149" s="100">
        <v>0.8355</v>
      </c>
      <c r="G149" s="102">
        <v>0.8257</v>
      </c>
      <c r="H149" s="102">
        <v>0.8183</v>
      </c>
      <c r="I149" s="102">
        <v>0.8485</v>
      </c>
      <c r="J149" s="102">
        <v>0.8414</v>
      </c>
      <c r="K149" s="102">
        <v>0.8285</v>
      </c>
      <c r="L149" s="102">
        <v>0.8568</v>
      </c>
      <c r="M149" s="102">
        <v>0.846</v>
      </c>
      <c r="N149" s="102">
        <v>0.8333</v>
      </c>
    </row>
    <row r="150" ht="15" spans="1:14">
      <c r="A150" s="98"/>
      <c r="B150" s="99">
        <v>10</v>
      </c>
      <c r="C150" s="100">
        <v>0.8241</v>
      </c>
      <c r="D150" s="101">
        <v>0.8141</v>
      </c>
      <c r="E150" s="101">
        <v>0.8053</v>
      </c>
      <c r="F150" s="100">
        <v>0.8411</v>
      </c>
      <c r="G150" s="102">
        <v>0.8308</v>
      </c>
      <c r="H150" s="102">
        <v>0.8239</v>
      </c>
      <c r="I150" s="102">
        <v>0.8535</v>
      </c>
      <c r="J150" s="102">
        <v>0.8433</v>
      </c>
      <c r="K150" s="102">
        <v>0.83</v>
      </c>
      <c r="L150" s="102">
        <v>0.8661</v>
      </c>
      <c r="M150" s="102">
        <v>0.8522</v>
      </c>
      <c r="N150" s="102">
        <v>0.835</v>
      </c>
    </row>
    <row r="151" ht="15" spans="1:14">
      <c r="A151" s="98"/>
      <c r="B151" s="99">
        <v>11</v>
      </c>
      <c r="C151" s="100">
        <v>0.83</v>
      </c>
      <c r="D151" s="101">
        <v>0.8224</v>
      </c>
      <c r="E151" s="101">
        <v>0.8094</v>
      </c>
      <c r="F151" s="100">
        <v>0.8458</v>
      </c>
      <c r="G151" s="102">
        <v>0.8397</v>
      </c>
      <c r="H151" s="102">
        <v>0.8272</v>
      </c>
      <c r="I151" s="102">
        <v>0.8629</v>
      </c>
      <c r="J151" s="102">
        <v>0.8482</v>
      </c>
      <c r="K151" s="102">
        <v>0.83</v>
      </c>
      <c r="L151" s="102">
        <v>0.8699</v>
      </c>
      <c r="M151" s="102">
        <v>0.8531</v>
      </c>
      <c r="N151" s="102">
        <v>0.836</v>
      </c>
    </row>
    <row r="152" ht="15" spans="1:14">
      <c r="A152" s="98"/>
      <c r="B152" s="99">
        <v>12</v>
      </c>
      <c r="C152" s="100">
        <v>0.835</v>
      </c>
      <c r="D152" s="101">
        <v>0.8267</v>
      </c>
      <c r="E152" s="101">
        <v>0.8214</v>
      </c>
      <c r="F152" s="100">
        <v>0.8535</v>
      </c>
      <c r="G152" s="102">
        <v>0.8413</v>
      </c>
      <c r="H152" s="102">
        <v>0.8301</v>
      </c>
      <c r="I152" s="102">
        <v>0.8669</v>
      </c>
      <c r="J152" s="102">
        <v>0.8523</v>
      </c>
      <c r="K152" s="102">
        <v>0.8352</v>
      </c>
      <c r="L152" s="102">
        <v>0.8734</v>
      </c>
      <c r="M152" s="102">
        <v>0.8567</v>
      </c>
      <c r="N152" s="102">
        <v>0.8376</v>
      </c>
    </row>
    <row r="153" ht="15" spans="1:14">
      <c r="A153" s="98"/>
      <c r="B153" s="99">
        <v>13</v>
      </c>
      <c r="C153" s="100">
        <v>0.8404</v>
      </c>
      <c r="D153" s="101">
        <v>0.8297</v>
      </c>
      <c r="E153" s="101">
        <v>0.8231</v>
      </c>
      <c r="F153" s="100">
        <v>0.8564</v>
      </c>
      <c r="G153" s="102">
        <v>0.8446</v>
      </c>
      <c r="H153" s="102">
        <v>0.8286</v>
      </c>
      <c r="I153" s="102">
        <v>0.8687</v>
      </c>
      <c r="J153" s="102">
        <v>0.8547</v>
      </c>
      <c r="K153" s="102">
        <v>0.8358</v>
      </c>
      <c r="L153" s="102">
        <v>0.8738</v>
      </c>
      <c r="M153" s="102">
        <v>0.8567</v>
      </c>
      <c r="N153" s="102">
        <v>0.8341</v>
      </c>
    </row>
    <row r="154" ht="15" spans="1:14">
      <c r="A154" s="98"/>
      <c r="B154" s="99">
        <v>14</v>
      </c>
      <c r="C154" s="100">
        <v>0.8444</v>
      </c>
      <c r="D154" s="101">
        <v>0.832</v>
      </c>
      <c r="E154" s="101">
        <v>0.826</v>
      </c>
      <c r="F154" s="100">
        <v>0.8635</v>
      </c>
      <c r="G154" s="102">
        <v>0.846</v>
      </c>
      <c r="H154" s="102">
        <v>0.8336</v>
      </c>
      <c r="I154" s="102">
        <v>0.8704</v>
      </c>
      <c r="J154" s="102">
        <v>0.8544</v>
      </c>
      <c r="K154" s="102">
        <v>0.8344</v>
      </c>
      <c r="L154" s="102">
        <v>0.8737</v>
      </c>
      <c r="M154" s="102">
        <v>0.8556</v>
      </c>
      <c r="N154" s="102">
        <v>0.8306</v>
      </c>
    </row>
    <row r="155" ht="15" spans="1:14">
      <c r="A155" s="98"/>
      <c r="B155" s="99">
        <v>15</v>
      </c>
      <c r="C155" s="100">
        <v>0.852</v>
      </c>
      <c r="D155" s="101">
        <v>0.8424</v>
      </c>
      <c r="E155" s="101">
        <v>0.8303</v>
      </c>
      <c r="F155" s="100">
        <v>0.869</v>
      </c>
      <c r="G155" s="102">
        <v>0.8562</v>
      </c>
      <c r="H155" s="102">
        <v>0.8381</v>
      </c>
      <c r="I155" s="102">
        <v>0.875</v>
      </c>
      <c r="J155" s="102">
        <v>0.859</v>
      </c>
      <c r="K155" s="102">
        <v>0.8419</v>
      </c>
      <c r="L155" s="102">
        <v>0.8778</v>
      </c>
      <c r="M155" s="102">
        <v>0.8594</v>
      </c>
      <c r="N155" s="102">
        <v>0.8341</v>
      </c>
    </row>
    <row r="156" ht="15" spans="1:14">
      <c r="A156" s="98"/>
      <c r="B156" s="99">
        <v>16</v>
      </c>
      <c r="C156" s="100">
        <v>0.8552</v>
      </c>
      <c r="D156" s="101">
        <v>0.8431</v>
      </c>
      <c r="E156" s="101">
        <v>0.8327</v>
      </c>
      <c r="F156" s="100">
        <v>0.8702</v>
      </c>
      <c r="G156" s="102">
        <v>0.855</v>
      </c>
      <c r="H156" s="102">
        <v>0.8387</v>
      </c>
      <c r="I156" s="102">
        <v>0.875</v>
      </c>
      <c r="J156" s="102">
        <v>0.8591</v>
      </c>
      <c r="K156" s="102">
        <v>0.8401</v>
      </c>
      <c r="L156" s="102">
        <v>0.8825</v>
      </c>
      <c r="M156" s="102">
        <v>0.8632</v>
      </c>
      <c r="N156" s="102">
        <v>0.8269</v>
      </c>
    </row>
    <row r="157" ht="15" spans="1:14">
      <c r="A157" s="98"/>
      <c r="B157" s="99">
        <v>17</v>
      </c>
      <c r="C157" s="100">
        <v>0.8578</v>
      </c>
      <c r="D157" s="101">
        <v>0.8507</v>
      </c>
      <c r="E157" s="101">
        <v>0.8316</v>
      </c>
      <c r="F157" s="100">
        <v>0.8732</v>
      </c>
      <c r="G157" s="102">
        <v>0.8571</v>
      </c>
      <c r="H157" s="102">
        <v>0.8382</v>
      </c>
      <c r="I157" s="102">
        <v>0.8801</v>
      </c>
      <c r="J157" s="102">
        <v>0.8584</v>
      </c>
      <c r="K157" s="102">
        <v>0.8383</v>
      </c>
      <c r="L157" s="102">
        <v>0.8827</v>
      </c>
      <c r="M157" s="102">
        <v>0.8627</v>
      </c>
      <c r="N157" s="102">
        <v>0.8242</v>
      </c>
    </row>
    <row r="158" ht="15" spans="1:14">
      <c r="A158" s="98"/>
      <c r="B158" s="99">
        <v>18</v>
      </c>
      <c r="C158" s="100">
        <v>0.8591</v>
      </c>
      <c r="D158" s="101">
        <v>0.8531</v>
      </c>
      <c r="E158" s="101">
        <v>0.8364</v>
      </c>
      <c r="F158" s="100">
        <v>0.8743</v>
      </c>
      <c r="G158" s="102">
        <v>0.8565</v>
      </c>
      <c r="H158" s="102">
        <v>0.841</v>
      </c>
      <c r="I158" s="102">
        <v>0.8797</v>
      </c>
      <c r="J158" s="102">
        <v>0.8622</v>
      </c>
      <c r="K158" s="102">
        <v>0.8311</v>
      </c>
      <c r="L158" s="102">
        <v>0.8827</v>
      </c>
      <c r="M158" s="102">
        <v>0.8541</v>
      </c>
      <c r="N158" s="102">
        <v>0.8186</v>
      </c>
    </row>
    <row r="159" ht="15" spans="1:14">
      <c r="A159" s="98"/>
      <c r="B159" s="99">
        <v>19</v>
      </c>
      <c r="C159" s="100">
        <v>0.8643</v>
      </c>
      <c r="D159" s="101">
        <v>0.8537</v>
      </c>
      <c r="E159" s="101">
        <v>0.8362</v>
      </c>
      <c r="F159" s="100">
        <v>0.8754</v>
      </c>
      <c r="G159" s="102">
        <v>0.8571</v>
      </c>
      <c r="H159" s="102">
        <v>0.8412</v>
      </c>
      <c r="I159" s="102">
        <v>0.8808</v>
      </c>
      <c r="J159" s="102">
        <v>0.8616</v>
      </c>
      <c r="K159" s="102">
        <v>0.8244</v>
      </c>
      <c r="L159" s="102">
        <v>0.8823</v>
      </c>
      <c r="M159" s="102">
        <v>0.85</v>
      </c>
      <c r="N159" s="102">
        <v>0.8111</v>
      </c>
    </row>
    <row r="160" ht="15" spans="1:14">
      <c r="A160" s="98"/>
      <c r="B160" s="99">
        <v>20</v>
      </c>
      <c r="C160" s="100">
        <v>0.867</v>
      </c>
      <c r="D160" s="101">
        <v>0.8557</v>
      </c>
      <c r="E160" s="101">
        <v>0.8383</v>
      </c>
      <c r="F160" s="100">
        <v>0.8776</v>
      </c>
      <c r="G160" s="102">
        <v>0.8612</v>
      </c>
      <c r="H160" s="102">
        <v>0.8406</v>
      </c>
      <c r="I160" s="102">
        <v>0.8803</v>
      </c>
      <c r="J160" s="102">
        <v>0.8616</v>
      </c>
      <c r="K160" s="102">
        <v>0.8296</v>
      </c>
      <c r="L160" s="102">
        <v>0.8873</v>
      </c>
      <c r="M160" s="102">
        <v>0.8424</v>
      </c>
      <c r="N160" s="102">
        <v>0.8068</v>
      </c>
    </row>
    <row r="161" ht="15" spans="1:14">
      <c r="A161" s="98"/>
      <c r="B161" s="99">
        <v>21</v>
      </c>
      <c r="C161" s="100">
        <v>0.8714</v>
      </c>
      <c r="D161" s="101">
        <v>0.856</v>
      </c>
      <c r="E161" s="101">
        <v>0.8388</v>
      </c>
      <c r="F161" s="100">
        <v>0.8787</v>
      </c>
      <c r="G161" s="102">
        <v>0.8594</v>
      </c>
      <c r="H161" s="102">
        <v>0.8328</v>
      </c>
      <c r="I161" s="102">
        <v>0.8837</v>
      </c>
      <c r="J161" s="102">
        <v>0.8526</v>
      </c>
      <c r="K161" s="102">
        <v>0.8204</v>
      </c>
      <c r="L161" s="102">
        <v>0.8844</v>
      </c>
      <c r="M161" s="102">
        <v>0.8392</v>
      </c>
      <c r="N161" s="102">
        <v>0.7986</v>
      </c>
    </row>
    <row r="162" ht="15" spans="1:14">
      <c r="A162" s="98"/>
      <c r="B162" s="99">
        <v>22</v>
      </c>
      <c r="C162" s="100">
        <v>0.8741</v>
      </c>
      <c r="D162" s="101">
        <v>0.855</v>
      </c>
      <c r="E162" s="101">
        <v>0.8417</v>
      </c>
      <c r="F162" s="100">
        <v>0.8798</v>
      </c>
      <c r="G162" s="102">
        <v>0.8593</v>
      </c>
      <c r="H162" s="102">
        <v>0.8269</v>
      </c>
      <c r="I162" s="102">
        <v>0.8843</v>
      </c>
      <c r="J162" s="102">
        <v>0.8469</v>
      </c>
      <c r="K162" s="102">
        <v>0.8192</v>
      </c>
      <c r="L162" s="102">
        <v>0.8778</v>
      </c>
      <c r="M162" s="102">
        <v>0.8362</v>
      </c>
      <c r="N162" s="102">
        <v>0.7966</v>
      </c>
    </row>
    <row r="163" ht="15" spans="1:14">
      <c r="A163" s="98"/>
      <c r="B163" s="99">
        <v>23</v>
      </c>
      <c r="C163" s="100">
        <v>0.8732</v>
      </c>
      <c r="D163" s="101">
        <v>0.8559</v>
      </c>
      <c r="E163" s="101">
        <v>0.8401</v>
      </c>
      <c r="F163" s="100">
        <v>0.8801</v>
      </c>
      <c r="G163" s="102">
        <v>0.8602</v>
      </c>
      <c r="H163" s="102">
        <v>0.8379</v>
      </c>
      <c r="I163" s="102">
        <v>0.8836</v>
      </c>
      <c r="J163" s="102">
        <v>0.8507</v>
      </c>
      <c r="K163" s="102">
        <v>0.8107</v>
      </c>
      <c r="L163" s="102">
        <v>0.8737</v>
      </c>
      <c r="M163" s="102">
        <v>0.8303</v>
      </c>
      <c r="N163" s="102">
        <v>0.7939</v>
      </c>
    </row>
    <row r="164" ht="15" spans="1:14">
      <c r="A164" s="98"/>
      <c r="B164" s="99">
        <v>24</v>
      </c>
      <c r="C164" s="100">
        <v>0.8757</v>
      </c>
      <c r="D164" s="101">
        <v>0.8551</v>
      </c>
      <c r="E164" s="101">
        <v>0.839</v>
      </c>
      <c r="F164" s="100">
        <v>0.8799</v>
      </c>
      <c r="G164" s="102">
        <v>0.8554</v>
      </c>
      <c r="H164" s="102">
        <v>0.839</v>
      </c>
      <c r="I164" s="102">
        <v>0.8819</v>
      </c>
      <c r="J164" s="102">
        <v>0.8596</v>
      </c>
      <c r="K164" s="102">
        <v>0.8058</v>
      </c>
      <c r="L164" s="102">
        <v>0.8712</v>
      </c>
      <c r="M164" s="102">
        <v>0.8271</v>
      </c>
      <c r="N164" s="102">
        <v>0.7929</v>
      </c>
    </row>
    <row r="165" ht="15" spans="1:14">
      <c r="A165" s="98"/>
      <c r="B165" s="99">
        <v>25</v>
      </c>
      <c r="C165" s="100">
        <v>0.8762</v>
      </c>
      <c r="D165" s="101">
        <v>0.8598</v>
      </c>
      <c r="E165" s="101">
        <v>0.8378</v>
      </c>
      <c r="F165" s="100">
        <v>0.8798</v>
      </c>
      <c r="G165" s="102">
        <v>0.8477</v>
      </c>
      <c r="H165" s="102">
        <v>0.8392</v>
      </c>
      <c r="I165" s="102">
        <v>0.8805</v>
      </c>
      <c r="J165" s="102">
        <v>0.8453</v>
      </c>
      <c r="K165" s="102">
        <v>0.7962</v>
      </c>
      <c r="L165" s="102">
        <v>0.8699</v>
      </c>
      <c r="M165" s="102">
        <v>0.8246</v>
      </c>
      <c r="N165" s="102">
        <v>0.7912</v>
      </c>
    </row>
    <row r="168" ht="15" spans="1:14">
      <c r="A168" s="98">
        <v>0.3</v>
      </c>
      <c r="B168" s="99">
        <v>6</v>
      </c>
      <c r="C168" s="100">
        <v>0.7591</v>
      </c>
      <c r="D168" s="101">
        <v>0.7638</v>
      </c>
      <c r="E168" s="101">
        <v>0.7623</v>
      </c>
      <c r="F168" s="100">
        <v>0.7913</v>
      </c>
      <c r="G168" s="102">
        <v>0.7878</v>
      </c>
      <c r="H168" s="102">
        <v>0.782</v>
      </c>
      <c r="I168" s="102">
        <v>0.8095</v>
      </c>
      <c r="J168" s="102">
        <v>0.8037</v>
      </c>
      <c r="K168" s="102">
        <v>0.7949</v>
      </c>
      <c r="L168" s="102">
        <v>0.8245</v>
      </c>
      <c r="M168" s="102">
        <v>0.816</v>
      </c>
      <c r="N168" s="102">
        <v>0.8058</v>
      </c>
    </row>
    <row r="169" ht="15" spans="1:14">
      <c r="A169" s="98"/>
      <c r="B169" s="99">
        <v>7</v>
      </c>
      <c r="C169" s="100">
        <v>0.7776</v>
      </c>
      <c r="D169" s="101">
        <v>0.7783</v>
      </c>
      <c r="E169" s="101">
        <v>0.7752</v>
      </c>
      <c r="F169" s="100">
        <v>0.806</v>
      </c>
      <c r="G169" s="102">
        <v>0.7987</v>
      </c>
      <c r="H169" s="102">
        <v>0.7916</v>
      </c>
      <c r="I169" s="102">
        <v>0.8207</v>
      </c>
      <c r="J169" s="102">
        <v>0.8137</v>
      </c>
      <c r="K169" s="102">
        <v>0.8025</v>
      </c>
      <c r="L169" s="102">
        <v>0.8331</v>
      </c>
      <c r="M169" s="102">
        <v>0.8243</v>
      </c>
      <c r="N169" s="102">
        <v>0.8156</v>
      </c>
    </row>
    <row r="170" ht="15" spans="1:14">
      <c r="A170" s="98"/>
      <c r="B170" s="99">
        <v>8</v>
      </c>
      <c r="C170" s="100">
        <v>0.7911</v>
      </c>
      <c r="D170" s="101">
        <v>0.789</v>
      </c>
      <c r="E170" s="101">
        <v>0.7844</v>
      </c>
      <c r="F170" s="100">
        <v>0.815</v>
      </c>
      <c r="G170" s="102">
        <v>0.8077</v>
      </c>
      <c r="H170" s="102">
        <v>0.7977</v>
      </c>
      <c r="I170" s="102">
        <v>0.8291</v>
      </c>
      <c r="J170" s="102">
        <v>0.8205</v>
      </c>
      <c r="K170" s="102">
        <v>0.8083</v>
      </c>
      <c r="L170" s="102">
        <v>0.8403</v>
      </c>
      <c r="M170" s="102">
        <v>0.8298</v>
      </c>
      <c r="N170" s="102">
        <v>0.8207</v>
      </c>
    </row>
    <row r="171" ht="15" spans="1:14">
      <c r="A171" s="98"/>
      <c r="B171" s="99">
        <v>9</v>
      </c>
      <c r="C171" s="100">
        <v>0.8042</v>
      </c>
      <c r="D171" s="101">
        <v>0.7979</v>
      </c>
      <c r="E171" s="101">
        <v>0.7916</v>
      </c>
      <c r="F171" s="100">
        <v>0.8237</v>
      </c>
      <c r="G171" s="102">
        <v>0.8146</v>
      </c>
      <c r="H171" s="102">
        <v>0.8036</v>
      </c>
      <c r="I171" s="102">
        <v>0.8362</v>
      </c>
      <c r="J171" s="102">
        <v>0.8262</v>
      </c>
      <c r="K171" s="102">
        <v>0.82</v>
      </c>
      <c r="L171" s="102">
        <v>0.8457</v>
      </c>
      <c r="M171" s="102">
        <v>0.8412</v>
      </c>
      <c r="N171" s="102">
        <v>0.8257</v>
      </c>
    </row>
    <row r="172" ht="15" spans="1:14">
      <c r="A172" s="98"/>
      <c r="B172" s="99">
        <v>10</v>
      </c>
      <c r="C172" s="100">
        <v>0.8133</v>
      </c>
      <c r="D172" s="101">
        <v>0.8049</v>
      </c>
      <c r="E172" s="101">
        <v>0.7981</v>
      </c>
      <c r="F172" s="100">
        <v>0.8305</v>
      </c>
      <c r="G172" s="102">
        <v>0.8201</v>
      </c>
      <c r="H172" s="102">
        <v>0.8118</v>
      </c>
      <c r="I172" s="102">
        <v>0.8435</v>
      </c>
      <c r="J172" s="102">
        <v>0.8306</v>
      </c>
      <c r="K172" s="102">
        <v>0.8234</v>
      </c>
      <c r="L172" s="102">
        <v>0.8537</v>
      </c>
      <c r="M172" s="102">
        <v>0.843</v>
      </c>
      <c r="N172" s="102">
        <v>0.828</v>
      </c>
    </row>
    <row r="173" ht="15" spans="1:14">
      <c r="A173" s="98"/>
      <c r="B173" s="99">
        <v>11</v>
      </c>
      <c r="C173" s="100">
        <v>0.82</v>
      </c>
      <c r="D173" s="101">
        <v>0.811</v>
      </c>
      <c r="E173" s="101">
        <v>0.8023</v>
      </c>
      <c r="F173" s="100">
        <v>0.835</v>
      </c>
      <c r="G173" s="102">
        <v>0.8269</v>
      </c>
      <c r="H173" s="102">
        <v>0.8207</v>
      </c>
      <c r="I173" s="102">
        <v>0.8481</v>
      </c>
      <c r="J173" s="102">
        <v>0.8389</v>
      </c>
      <c r="K173" s="102">
        <v>0.8253</v>
      </c>
      <c r="L173" s="102">
        <v>0.8601</v>
      </c>
      <c r="M173" s="102">
        <v>0.8467</v>
      </c>
      <c r="N173" s="102">
        <v>0.83</v>
      </c>
    </row>
    <row r="174" ht="15" spans="1:14">
      <c r="A174" s="98"/>
      <c r="B174" s="99">
        <v>12</v>
      </c>
      <c r="C174" s="100">
        <v>0.8252</v>
      </c>
      <c r="D174" s="101">
        <v>0.8163</v>
      </c>
      <c r="E174" s="101">
        <v>0.8065</v>
      </c>
      <c r="F174" s="100">
        <v>0.842</v>
      </c>
      <c r="G174" s="102">
        <v>0.83</v>
      </c>
      <c r="H174" s="102">
        <v>0.8234</v>
      </c>
      <c r="I174" s="102">
        <v>0.8521</v>
      </c>
      <c r="J174" s="102">
        <v>0.8413</v>
      </c>
      <c r="K174" s="102">
        <v>0.8292</v>
      </c>
      <c r="L174" s="102">
        <v>0.8636</v>
      </c>
      <c r="M174" s="102">
        <v>0.8512</v>
      </c>
      <c r="N174" s="102">
        <v>0.8335</v>
      </c>
    </row>
    <row r="175" ht="15" spans="1:14">
      <c r="A175" s="98"/>
      <c r="B175" s="99">
        <v>13</v>
      </c>
      <c r="C175" s="100">
        <v>0.8295</v>
      </c>
      <c r="D175" s="101">
        <v>0.8218</v>
      </c>
      <c r="E175" s="101">
        <v>0.8121</v>
      </c>
      <c r="F175" s="100">
        <v>0.8456</v>
      </c>
      <c r="G175" s="102">
        <v>0.8373</v>
      </c>
      <c r="H175" s="102">
        <v>0.824</v>
      </c>
      <c r="I175" s="102">
        <v>0.8582</v>
      </c>
      <c r="J175" s="102">
        <v>0.8466</v>
      </c>
      <c r="K175" s="102">
        <v>0.8303</v>
      </c>
      <c r="L175" s="102">
        <v>0.8654</v>
      </c>
      <c r="M175" s="102">
        <v>0.8515</v>
      </c>
      <c r="N175" s="102">
        <v>0.8327</v>
      </c>
    </row>
    <row r="176" ht="15" spans="1:14">
      <c r="A176" s="98"/>
      <c r="B176" s="99">
        <v>14</v>
      </c>
      <c r="C176" s="100">
        <v>0.8375</v>
      </c>
      <c r="D176" s="101">
        <v>0.8253</v>
      </c>
      <c r="E176" s="101">
        <v>0.8189</v>
      </c>
      <c r="F176" s="100">
        <v>0.8486</v>
      </c>
      <c r="G176" s="102">
        <v>0.8381</v>
      </c>
      <c r="H176" s="102">
        <v>0.826</v>
      </c>
      <c r="I176" s="102">
        <v>0.8637</v>
      </c>
      <c r="J176" s="102">
        <v>0.8482</v>
      </c>
      <c r="K176" s="102">
        <v>0.8301</v>
      </c>
      <c r="L176" s="102">
        <v>0.8701</v>
      </c>
      <c r="M176" s="102">
        <v>0.8515</v>
      </c>
      <c r="N176" s="102">
        <v>0.8342</v>
      </c>
    </row>
    <row r="177" ht="15" spans="1:14">
      <c r="A177" s="98"/>
      <c r="B177" s="99">
        <v>15</v>
      </c>
      <c r="C177" s="100">
        <v>0.8408</v>
      </c>
      <c r="D177" s="101">
        <v>0.8289</v>
      </c>
      <c r="E177" s="101">
        <v>0.8223</v>
      </c>
      <c r="F177" s="100">
        <v>0.8516</v>
      </c>
      <c r="G177" s="102">
        <v>0.8425</v>
      </c>
      <c r="H177" s="102">
        <v>0.8281</v>
      </c>
      <c r="I177" s="102">
        <v>0.8653</v>
      </c>
      <c r="J177" s="102">
        <v>0.8498</v>
      </c>
      <c r="K177" s="102">
        <v>0.8343</v>
      </c>
      <c r="L177" s="102">
        <v>0.87</v>
      </c>
      <c r="M177" s="102">
        <v>0.8538</v>
      </c>
      <c r="N177" s="102">
        <v>0.8316</v>
      </c>
    </row>
    <row r="178" ht="15" spans="1:14">
      <c r="A178" s="98"/>
      <c r="B178" s="99">
        <v>16</v>
      </c>
      <c r="C178" s="100">
        <v>0.8442</v>
      </c>
      <c r="D178" s="101">
        <v>0.8312</v>
      </c>
      <c r="E178" s="101">
        <v>0.8238</v>
      </c>
      <c r="F178" s="100">
        <v>0.8537</v>
      </c>
      <c r="G178" s="102">
        <v>0.8449</v>
      </c>
      <c r="H178" s="102">
        <v>0.8288</v>
      </c>
      <c r="I178" s="102">
        <v>0.8665</v>
      </c>
      <c r="J178" s="102">
        <v>0.85</v>
      </c>
      <c r="K178" s="102">
        <v>0.8323</v>
      </c>
      <c r="L178" s="102">
        <v>0.8708</v>
      </c>
      <c r="M178" s="102">
        <v>0.8529</v>
      </c>
      <c r="N178" s="102">
        <v>0.829</v>
      </c>
    </row>
    <row r="179" ht="15" spans="1:14">
      <c r="A179" s="98"/>
      <c r="B179" s="99">
        <v>17</v>
      </c>
      <c r="C179" s="100">
        <v>0.8467</v>
      </c>
      <c r="D179" s="101">
        <v>0.8378</v>
      </c>
      <c r="E179" s="101">
        <v>0.8248</v>
      </c>
      <c r="F179" s="100">
        <v>0.8604</v>
      </c>
      <c r="G179" s="102">
        <v>0.8456</v>
      </c>
      <c r="H179" s="102">
        <v>0.8326</v>
      </c>
      <c r="I179" s="102">
        <v>0.8661</v>
      </c>
      <c r="J179" s="102">
        <v>0.8513</v>
      </c>
      <c r="K179" s="102">
        <v>0.8293</v>
      </c>
      <c r="L179" s="102">
        <v>0.872</v>
      </c>
      <c r="M179" s="102">
        <v>0.8516</v>
      </c>
      <c r="N179" s="102">
        <v>0.8275</v>
      </c>
    </row>
    <row r="180" ht="15" spans="1:14">
      <c r="A180" s="98"/>
      <c r="B180" s="99">
        <v>18</v>
      </c>
      <c r="C180" s="100">
        <v>0.8537</v>
      </c>
      <c r="D180" s="101">
        <v>0.8427</v>
      </c>
      <c r="E180" s="101">
        <v>0.8305</v>
      </c>
      <c r="F180" s="100">
        <v>0.8655</v>
      </c>
      <c r="G180" s="102">
        <v>0.852</v>
      </c>
      <c r="H180" s="102">
        <v>0.8363</v>
      </c>
      <c r="I180" s="102">
        <v>0.8721</v>
      </c>
      <c r="J180" s="102">
        <v>0.8564</v>
      </c>
      <c r="K180" s="102">
        <v>0.8389</v>
      </c>
      <c r="L180" s="102">
        <v>0.8768</v>
      </c>
      <c r="M180" s="102">
        <v>0.8588</v>
      </c>
      <c r="N180" s="102">
        <v>0.8288</v>
      </c>
    </row>
    <row r="181" ht="15" spans="1:14">
      <c r="A181" s="98"/>
      <c r="B181" s="99">
        <v>19</v>
      </c>
      <c r="C181" s="100">
        <v>0.8566</v>
      </c>
      <c r="D181" s="101">
        <v>0.8452</v>
      </c>
      <c r="E181" s="101">
        <v>0.8345</v>
      </c>
      <c r="F181" s="100">
        <v>0.8699</v>
      </c>
      <c r="G181" s="102">
        <v>0.8532</v>
      </c>
      <c r="H181" s="102">
        <v>0.8379</v>
      </c>
      <c r="I181" s="102">
        <v>0.8731</v>
      </c>
      <c r="J181" s="102">
        <v>0.8574</v>
      </c>
      <c r="K181" s="102">
        <v>0.8356</v>
      </c>
      <c r="L181" s="102">
        <v>0.8799</v>
      </c>
      <c r="M181" s="102">
        <v>0.8579</v>
      </c>
      <c r="N181" s="102">
        <v>0.8295</v>
      </c>
    </row>
    <row r="182" ht="15" spans="1:14">
      <c r="A182" s="98"/>
      <c r="B182" s="99">
        <v>20</v>
      </c>
      <c r="C182" s="100">
        <v>0.859</v>
      </c>
      <c r="D182" s="101">
        <v>0.8495</v>
      </c>
      <c r="E182" s="101">
        <v>0.8338</v>
      </c>
      <c r="F182" s="100">
        <v>0.8704</v>
      </c>
      <c r="G182" s="102">
        <v>0.8537</v>
      </c>
      <c r="H182" s="102">
        <v>0.8357</v>
      </c>
      <c r="I182" s="102">
        <v>0.8776</v>
      </c>
      <c r="J182" s="102">
        <v>0.8598</v>
      </c>
      <c r="K182" s="102">
        <v>0.8338</v>
      </c>
      <c r="L182" s="102">
        <v>0.8808</v>
      </c>
      <c r="M182" s="102">
        <v>0.8582</v>
      </c>
      <c r="N182" s="102">
        <v>0.8205</v>
      </c>
    </row>
    <row r="183" ht="15" spans="1:14">
      <c r="A183" s="98"/>
      <c r="B183" s="99">
        <v>21</v>
      </c>
      <c r="C183" s="100">
        <v>0.8604</v>
      </c>
      <c r="D183" s="101">
        <v>0.85</v>
      </c>
      <c r="E183" s="101">
        <v>0.8347</v>
      </c>
      <c r="F183" s="100">
        <v>0.8731</v>
      </c>
      <c r="G183" s="102">
        <v>0.8563</v>
      </c>
      <c r="H183" s="102">
        <v>0.8382</v>
      </c>
      <c r="I183" s="102">
        <v>0.8781</v>
      </c>
      <c r="J183" s="102">
        <v>0.8593</v>
      </c>
      <c r="K183" s="102">
        <v>0.8277</v>
      </c>
      <c r="L183" s="102">
        <v>0.8802</v>
      </c>
      <c r="M183" s="102">
        <v>0.8549</v>
      </c>
      <c r="N183" s="102">
        <v>0.8157</v>
      </c>
    </row>
    <row r="184" ht="15" spans="1:14">
      <c r="A184" s="98"/>
      <c r="B184" s="99">
        <v>22</v>
      </c>
      <c r="C184" s="100">
        <v>0.8662</v>
      </c>
      <c r="D184" s="101">
        <v>0.8522</v>
      </c>
      <c r="E184" s="101">
        <v>0.8367</v>
      </c>
      <c r="F184" s="100">
        <v>0.8724</v>
      </c>
      <c r="G184" s="102">
        <v>0.8552</v>
      </c>
      <c r="H184" s="102">
        <v>0.8366</v>
      </c>
      <c r="I184" s="102">
        <v>0.879</v>
      </c>
      <c r="J184" s="102">
        <v>0.8586</v>
      </c>
      <c r="K184" s="102">
        <v>0.8217</v>
      </c>
      <c r="L184" s="102">
        <v>0.8797</v>
      </c>
      <c r="M184" s="102">
        <v>0.8459</v>
      </c>
      <c r="N184" s="102">
        <v>0.8107</v>
      </c>
    </row>
    <row r="185" ht="15" spans="1:14">
      <c r="A185" s="98"/>
      <c r="B185" s="99">
        <v>23</v>
      </c>
      <c r="C185" s="100">
        <v>0.8689</v>
      </c>
      <c r="D185" s="101">
        <v>0.8527</v>
      </c>
      <c r="E185" s="101">
        <v>0.8376</v>
      </c>
      <c r="F185" s="100">
        <v>0.873</v>
      </c>
      <c r="G185" s="102">
        <v>0.8555</v>
      </c>
      <c r="H185" s="102">
        <v>0.8367</v>
      </c>
      <c r="I185" s="102">
        <v>0.8783</v>
      </c>
      <c r="J185" s="102">
        <v>0.8609</v>
      </c>
      <c r="K185" s="102">
        <v>0.8265</v>
      </c>
      <c r="L185" s="102">
        <v>0.8825</v>
      </c>
      <c r="M185" s="102">
        <v>0.8403</v>
      </c>
      <c r="N185" s="102">
        <v>0.8022</v>
      </c>
    </row>
    <row r="186" ht="15" spans="1:14">
      <c r="A186" s="98"/>
      <c r="B186" s="99">
        <v>24</v>
      </c>
      <c r="C186" s="100">
        <v>0.8692</v>
      </c>
      <c r="D186" s="101">
        <v>0.8533</v>
      </c>
      <c r="E186" s="101">
        <v>0.8382</v>
      </c>
      <c r="F186" s="100">
        <v>0.874</v>
      </c>
      <c r="G186" s="102">
        <v>0.8559</v>
      </c>
      <c r="H186" s="102">
        <v>0.8328</v>
      </c>
      <c r="I186" s="102">
        <v>0.8789</v>
      </c>
      <c r="J186" s="102">
        <v>0.8557</v>
      </c>
      <c r="K186" s="102">
        <v>0.8261</v>
      </c>
      <c r="L186" s="102">
        <v>0.8807</v>
      </c>
      <c r="M186" s="102">
        <v>0.8402</v>
      </c>
      <c r="N186" s="102">
        <v>0.8009</v>
      </c>
    </row>
    <row r="187" ht="15" spans="1:14">
      <c r="A187" s="98"/>
      <c r="B187" s="99">
        <v>25</v>
      </c>
      <c r="C187" s="100">
        <v>0.8714</v>
      </c>
      <c r="D187" s="101">
        <v>0.8535</v>
      </c>
      <c r="E187" s="101">
        <v>0.8386</v>
      </c>
      <c r="F187" s="100">
        <v>0.8746</v>
      </c>
      <c r="G187" s="102">
        <v>0.8552</v>
      </c>
      <c r="H187" s="102">
        <v>0.8282</v>
      </c>
      <c r="I187" s="102">
        <v>0.8795</v>
      </c>
      <c r="J187" s="102">
        <v>0.8457</v>
      </c>
      <c r="K187" s="102">
        <v>0.8176</v>
      </c>
      <c r="L187" s="102">
        <v>0.8777</v>
      </c>
      <c r="M187" s="102">
        <v>0.8332</v>
      </c>
      <c r="N187" s="102">
        <v>0.7938</v>
      </c>
    </row>
    <row r="190" ht="15" spans="1:14">
      <c r="A190" s="98">
        <v>0.25</v>
      </c>
      <c r="B190" s="99">
        <v>6</v>
      </c>
      <c r="C190" s="100">
        <v>0.7333</v>
      </c>
      <c r="D190" s="101">
        <v>0.7401</v>
      </c>
      <c r="E190" s="101">
        <v>0.7424</v>
      </c>
      <c r="F190" s="100">
        <v>0.7694</v>
      </c>
      <c r="G190" s="102">
        <v>0.7699</v>
      </c>
      <c r="H190" s="102">
        <v>0.7677</v>
      </c>
      <c r="I190" s="102">
        <v>0.7931</v>
      </c>
      <c r="J190" s="102">
        <v>0.789</v>
      </c>
      <c r="K190" s="102">
        <v>0.7835</v>
      </c>
      <c r="L190" s="102">
        <v>0.8107</v>
      </c>
      <c r="M190" s="102">
        <v>0.806</v>
      </c>
      <c r="N190" s="102">
        <v>0.7951</v>
      </c>
    </row>
    <row r="191" ht="15" spans="1:14">
      <c r="A191" s="98"/>
      <c r="B191" s="99">
        <v>7</v>
      </c>
      <c r="C191" s="100">
        <v>0.7532</v>
      </c>
      <c r="D191" s="101">
        <v>0.7566</v>
      </c>
      <c r="E191" s="101">
        <v>0.7566</v>
      </c>
      <c r="F191" s="100">
        <v>0.7862</v>
      </c>
      <c r="G191" s="102">
        <v>0.7834</v>
      </c>
      <c r="H191" s="102">
        <v>0.78</v>
      </c>
      <c r="I191" s="102">
        <v>0.8067</v>
      </c>
      <c r="J191" s="102">
        <v>0.8001</v>
      </c>
      <c r="K191" s="102">
        <v>0.7928</v>
      </c>
      <c r="L191" s="102">
        <v>0.8226</v>
      </c>
      <c r="M191" s="102">
        <v>0.8157</v>
      </c>
      <c r="N191" s="102">
        <v>0.8025</v>
      </c>
    </row>
    <row r="192" ht="15" spans="1:14">
      <c r="A192" s="98"/>
      <c r="B192" s="99">
        <v>8</v>
      </c>
      <c r="C192" s="100">
        <v>0.7682</v>
      </c>
      <c r="D192" s="101">
        <v>0.7696</v>
      </c>
      <c r="E192" s="101">
        <v>0.7666</v>
      </c>
      <c r="F192" s="100">
        <v>0.7981</v>
      </c>
      <c r="G192" s="102">
        <v>0.7934</v>
      </c>
      <c r="H192" s="102">
        <v>0.7873</v>
      </c>
      <c r="I192" s="102">
        <v>0.8163</v>
      </c>
      <c r="J192" s="102">
        <v>0.809</v>
      </c>
      <c r="K192" s="102">
        <v>0.7989</v>
      </c>
      <c r="L192" s="102">
        <v>0.8303</v>
      </c>
      <c r="M192" s="102">
        <v>0.8226</v>
      </c>
      <c r="N192" s="102">
        <v>0.8082</v>
      </c>
    </row>
    <row r="193" ht="15" spans="1:14">
      <c r="A193" s="98"/>
      <c r="B193" s="99">
        <v>9</v>
      </c>
      <c r="C193" s="100">
        <v>0.7802</v>
      </c>
      <c r="D193" s="101">
        <v>0.7789</v>
      </c>
      <c r="E193" s="101">
        <v>0.7746</v>
      </c>
      <c r="F193" s="100">
        <v>0.8076</v>
      </c>
      <c r="G193" s="102">
        <v>0.8002</v>
      </c>
      <c r="H193" s="102">
        <v>0.7931</v>
      </c>
      <c r="I193" s="102">
        <v>0.8237</v>
      </c>
      <c r="J193" s="102">
        <v>0.8174</v>
      </c>
      <c r="K193" s="102">
        <v>0.8043</v>
      </c>
      <c r="L193" s="102">
        <v>0.8391</v>
      </c>
      <c r="M193" s="102">
        <v>0.8282</v>
      </c>
      <c r="N193" s="102">
        <v>0.8188</v>
      </c>
    </row>
    <row r="194" ht="15" spans="1:14">
      <c r="A194" s="98"/>
      <c r="B194" s="99">
        <v>10</v>
      </c>
      <c r="C194" s="100">
        <v>0.7908</v>
      </c>
      <c r="D194" s="101">
        <v>0.7868</v>
      </c>
      <c r="E194" s="101">
        <v>0.7818</v>
      </c>
      <c r="F194" s="100">
        <v>0.8157</v>
      </c>
      <c r="G194" s="102">
        <v>0.8073</v>
      </c>
      <c r="H194" s="102">
        <v>0.7979</v>
      </c>
      <c r="I194" s="102">
        <v>0.8301</v>
      </c>
      <c r="J194" s="102">
        <v>0.8229</v>
      </c>
      <c r="K194" s="102">
        <v>0.8137</v>
      </c>
      <c r="L194" s="102">
        <v>0.8448</v>
      </c>
      <c r="M194" s="102">
        <v>0.8335</v>
      </c>
      <c r="N194" s="102">
        <v>0.822</v>
      </c>
    </row>
    <row r="195" ht="15" spans="1:14">
      <c r="A195" s="98"/>
      <c r="B195" s="99">
        <v>11</v>
      </c>
      <c r="C195" s="100">
        <v>0.8017</v>
      </c>
      <c r="D195" s="101">
        <v>0.7946</v>
      </c>
      <c r="E195" s="101">
        <v>0.7896</v>
      </c>
      <c r="F195" s="100">
        <v>0.8226</v>
      </c>
      <c r="G195" s="102">
        <v>0.8158</v>
      </c>
      <c r="H195" s="102">
        <v>0.8054</v>
      </c>
      <c r="I195" s="102">
        <v>0.8361</v>
      </c>
      <c r="J195" s="102">
        <v>0.8281</v>
      </c>
      <c r="K195" s="102">
        <v>0.8192</v>
      </c>
      <c r="L195" s="102">
        <v>0.8493</v>
      </c>
      <c r="M195" s="102">
        <v>0.8403</v>
      </c>
      <c r="N195" s="102">
        <v>0.8234</v>
      </c>
    </row>
    <row r="196" ht="15" spans="1:14">
      <c r="A196" s="98"/>
      <c r="B196" s="99">
        <v>12</v>
      </c>
      <c r="C196" s="100">
        <v>0.8085</v>
      </c>
      <c r="D196" s="101">
        <v>0.8031</v>
      </c>
      <c r="E196" s="101">
        <v>0.7942</v>
      </c>
      <c r="F196" s="100">
        <v>0.831</v>
      </c>
      <c r="G196" s="102">
        <v>0.8203</v>
      </c>
      <c r="H196" s="102">
        <v>0.8089</v>
      </c>
      <c r="I196" s="102">
        <v>0.8426</v>
      </c>
      <c r="J196" s="102">
        <v>0.831</v>
      </c>
      <c r="K196" s="102">
        <v>0.8224</v>
      </c>
      <c r="L196" s="102">
        <v>0.8532</v>
      </c>
      <c r="M196" s="102">
        <v>0.844</v>
      </c>
      <c r="N196" s="102">
        <v>0.8289</v>
      </c>
    </row>
    <row r="197" ht="15" spans="1:14">
      <c r="A197" s="98"/>
      <c r="B197" s="99">
        <v>13</v>
      </c>
      <c r="C197" s="100">
        <v>0.8156</v>
      </c>
      <c r="D197" s="101">
        <v>0.8079</v>
      </c>
      <c r="E197" s="101">
        <v>0.7976</v>
      </c>
      <c r="F197" s="100">
        <v>0.8348</v>
      </c>
      <c r="G197" s="102">
        <v>0.8238</v>
      </c>
      <c r="H197" s="102">
        <v>0.8166</v>
      </c>
      <c r="I197" s="102">
        <v>0.8464</v>
      </c>
      <c r="J197" s="102">
        <v>0.8372</v>
      </c>
      <c r="K197" s="102">
        <v>0.8237</v>
      </c>
      <c r="L197" s="102">
        <v>0.8602</v>
      </c>
      <c r="M197" s="102">
        <v>0.8488</v>
      </c>
      <c r="N197" s="102">
        <v>0.8298</v>
      </c>
    </row>
    <row r="198" ht="15" spans="1:14">
      <c r="A198" s="98"/>
      <c r="B198" s="99">
        <v>14</v>
      </c>
      <c r="C198" s="100">
        <v>0.8208</v>
      </c>
      <c r="D198" s="101">
        <v>0.8122</v>
      </c>
      <c r="E198" s="101">
        <v>0.801</v>
      </c>
      <c r="F198" s="100">
        <v>0.8388</v>
      </c>
      <c r="G198" s="102">
        <v>0.8275</v>
      </c>
      <c r="H198" s="102">
        <v>0.8185</v>
      </c>
      <c r="I198" s="102">
        <v>0.8501</v>
      </c>
      <c r="J198" s="102">
        <v>0.842</v>
      </c>
      <c r="K198" s="102">
        <v>0.828</v>
      </c>
      <c r="L198" s="102">
        <v>0.8657</v>
      </c>
      <c r="M198" s="102">
        <v>0.85</v>
      </c>
      <c r="N198" s="102">
        <v>0.8305</v>
      </c>
    </row>
    <row r="199" ht="15" spans="1:14">
      <c r="A199" s="98"/>
      <c r="B199" s="99">
        <v>15</v>
      </c>
      <c r="C199" s="100">
        <v>0.8248</v>
      </c>
      <c r="D199" s="101">
        <v>0.8159</v>
      </c>
      <c r="E199" s="101">
        <v>0.8071</v>
      </c>
      <c r="F199" s="100">
        <v>0.8419</v>
      </c>
      <c r="G199" s="102">
        <v>0.8295</v>
      </c>
      <c r="H199" s="102">
        <v>0.8234</v>
      </c>
      <c r="I199" s="102">
        <v>0.8519</v>
      </c>
      <c r="J199" s="102">
        <v>0.8429</v>
      </c>
      <c r="K199" s="102">
        <v>0.8288</v>
      </c>
      <c r="L199" s="102">
        <v>0.8683</v>
      </c>
      <c r="M199" s="102">
        <v>0.8511</v>
      </c>
      <c r="N199" s="102">
        <v>0.8344</v>
      </c>
    </row>
    <row r="200" ht="15" spans="1:14">
      <c r="A200" s="98"/>
      <c r="B200" s="99">
        <v>16</v>
      </c>
      <c r="C200" s="100">
        <v>0.8289</v>
      </c>
      <c r="D200" s="101">
        <v>0.819</v>
      </c>
      <c r="E200" s="101">
        <v>0.8095</v>
      </c>
      <c r="F200" s="100">
        <v>0.8472</v>
      </c>
      <c r="G200" s="102">
        <v>0.8362</v>
      </c>
      <c r="H200" s="102">
        <v>0.8246</v>
      </c>
      <c r="I200" s="102">
        <v>0.8607</v>
      </c>
      <c r="J200" s="102">
        <v>0.8451</v>
      </c>
      <c r="K200" s="102">
        <v>0.8297</v>
      </c>
      <c r="L200" s="102">
        <v>0.8691</v>
      </c>
      <c r="M200" s="102">
        <v>0.8544</v>
      </c>
      <c r="N200" s="102">
        <v>0.8328</v>
      </c>
    </row>
    <row r="201" ht="15" spans="1:14">
      <c r="A201" s="98"/>
      <c r="B201" s="99">
        <v>17</v>
      </c>
      <c r="C201" s="100">
        <v>0.8313</v>
      </c>
      <c r="D201" s="101">
        <v>0.8216</v>
      </c>
      <c r="E201" s="101">
        <v>0.8169</v>
      </c>
      <c r="F201" s="100">
        <v>0.8497</v>
      </c>
      <c r="G201" s="102">
        <v>0.838</v>
      </c>
      <c r="H201" s="102">
        <v>0.8259</v>
      </c>
      <c r="I201" s="102">
        <v>0.8617</v>
      </c>
      <c r="J201" s="102">
        <v>0.8472</v>
      </c>
      <c r="K201" s="102">
        <v>0.8328</v>
      </c>
      <c r="L201" s="102">
        <v>0.8727</v>
      </c>
      <c r="M201" s="102">
        <v>0.8539</v>
      </c>
      <c r="N201" s="102">
        <v>0.8317</v>
      </c>
    </row>
    <row r="202" ht="15" spans="1:14">
      <c r="A202" s="98"/>
      <c r="B202" s="99">
        <v>18</v>
      </c>
      <c r="C202" s="100">
        <v>0.8343</v>
      </c>
      <c r="D202" s="101">
        <v>0.8235</v>
      </c>
      <c r="E202" s="101">
        <v>0.8165</v>
      </c>
      <c r="F202" s="100">
        <v>0.8532</v>
      </c>
      <c r="G202" s="102">
        <v>0.8398</v>
      </c>
      <c r="H202" s="102">
        <v>0.8268</v>
      </c>
      <c r="I202" s="102">
        <v>0.8645</v>
      </c>
      <c r="J202" s="102">
        <v>0.8492</v>
      </c>
      <c r="K202" s="102">
        <v>0.8321</v>
      </c>
      <c r="L202" s="102">
        <v>0.8715</v>
      </c>
      <c r="M202" s="102">
        <v>0.8538</v>
      </c>
      <c r="N202" s="102">
        <v>0.8331</v>
      </c>
    </row>
    <row r="203" ht="15" spans="1:14">
      <c r="A203" s="98"/>
      <c r="B203" s="99">
        <v>19</v>
      </c>
      <c r="C203" s="100">
        <v>0.8367</v>
      </c>
      <c r="D203" s="101">
        <v>0.8295</v>
      </c>
      <c r="E203" s="101">
        <v>0.8197</v>
      </c>
      <c r="F203" s="100">
        <v>0.8606</v>
      </c>
      <c r="G203" s="102">
        <v>0.8418</v>
      </c>
      <c r="H203" s="102">
        <v>0.8277</v>
      </c>
      <c r="I203" s="102">
        <v>0.865</v>
      </c>
      <c r="J203" s="102">
        <v>0.8497</v>
      </c>
      <c r="K203" s="102">
        <v>0.8299</v>
      </c>
      <c r="L203" s="102">
        <v>0.8738</v>
      </c>
      <c r="M203" s="102">
        <v>0.8567</v>
      </c>
      <c r="N203" s="102">
        <v>0.8305</v>
      </c>
    </row>
    <row r="204" ht="15" spans="1:14">
      <c r="A204" s="98"/>
      <c r="B204" s="99">
        <v>20</v>
      </c>
      <c r="C204" s="100">
        <v>0.8423</v>
      </c>
      <c r="D204" s="101">
        <v>0.835</v>
      </c>
      <c r="E204" s="101">
        <v>0.8229</v>
      </c>
      <c r="F204" s="100">
        <v>0.8649</v>
      </c>
      <c r="G204" s="102">
        <v>0.8431</v>
      </c>
      <c r="H204" s="102">
        <v>0.831</v>
      </c>
      <c r="I204" s="102">
        <v>0.866</v>
      </c>
      <c r="J204" s="102">
        <v>0.8502</v>
      </c>
      <c r="K204" s="102">
        <v>0.8331</v>
      </c>
      <c r="L204" s="102">
        <v>0.8779</v>
      </c>
      <c r="M204" s="102">
        <v>0.8545</v>
      </c>
      <c r="N204" s="102">
        <v>0.827</v>
      </c>
    </row>
    <row r="205" ht="15" spans="1:14">
      <c r="A205" s="98"/>
      <c r="B205" s="99">
        <v>21</v>
      </c>
      <c r="C205" s="100">
        <v>0.8491</v>
      </c>
      <c r="D205" s="101">
        <v>0.8399</v>
      </c>
      <c r="E205" s="101">
        <v>0.8257</v>
      </c>
      <c r="F205" s="100">
        <v>0.8675</v>
      </c>
      <c r="G205" s="102">
        <v>0.849</v>
      </c>
      <c r="H205" s="102">
        <v>0.8343</v>
      </c>
      <c r="I205" s="102">
        <v>0.8714</v>
      </c>
      <c r="J205" s="102">
        <v>0.8567</v>
      </c>
      <c r="K205" s="102">
        <v>0.8372</v>
      </c>
      <c r="L205" s="102">
        <v>0.8807</v>
      </c>
      <c r="M205" s="102">
        <v>0.8601</v>
      </c>
      <c r="N205" s="102">
        <v>0.8318</v>
      </c>
    </row>
    <row r="206" ht="15" spans="1:14">
      <c r="A206" s="98"/>
      <c r="B206" s="99">
        <v>22</v>
      </c>
      <c r="C206" s="100">
        <v>0.851</v>
      </c>
      <c r="D206" s="101">
        <v>0.8407</v>
      </c>
      <c r="E206" s="101">
        <v>0.8268</v>
      </c>
      <c r="F206" s="100">
        <v>0.866</v>
      </c>
      <c r="G206" s="102">
        <v>0.8488</v>
      </c>
      <c r="H206" s="102">
        <v>0.8352</v>
      </c>
      <c r="I206" s="102">
        <v>0.8721</v>
      </c>
      <c r="J206" s="102">
        <v>0.8571</v>
      </c>
      <c r="K206" s="102">
        <v>0.8361</v>
      </c>
      <c r="L206" s="102">
        <v>0.8809</v>
      </c>
      <c r="M206" s="102">
        <v>0.8591</v>
      </c>
      <c r="N206" s="102">
        <v>0.8273</v>
      </c>
    </row>
    <row r="207" ht="15" spans="1:14">
      <c r="A207" s="98"/>
      <c r="B207" s="99">
        <v>23</v>
      </c>
      <c r="C207" s="100">
        <v>0.8532</v>
      </c>
      <c r="D207" s="101">
        <v>0.843</v>
      </c>
      <c r="E207" s="101">
        <v>0.8311</v>
      </c>
      <c r="F207" s="100">
        <v>0.8685</v>
      </c>
      <c r="G207" s="102">
        <v>0.8544</v>
      </c>
      <c r="H207" s="102">
        <v>0.8345</v>
      </c>
      <c r="I207" s="102">
        <v>0.8755</v>
      </c>
      <c r="J207" s="102">
        <v>0.8563</v>
      </c>
      <c r="K207" s="102">
        <v>0.835</v>
      </c>
      <c r="L207" s="102">
        <v>0.8814</v>
      </c>
      <c r="M207" s="102">
        <v>0.8615</v>
      </c>
      <c r="N207" s="102">
        <v>0.8281</v>
      </c>
    </row>
    <row r="208" ht="15" spans="1:14">
      <c r="A208" s="98"/>
      <c r="B208" s="99">
        <v>24</v>
      </c>
      <c r="C208" s="100">
        <v>0.8552</v>
      </c>
      <c r="D208" s="101">
        <v>0.8437</v>
      </c>
      <c r="E208" s="101">
        <v>0.832</v>
      </c>
      <c r="F208" s="100">
        <v>0.871</v>
      </c>
      <c r="G208" s="102">
        <v>0.8538</v>
      </c>
      <c r="H208" s="102">
        <v>0.8374</v>
      </c>
      <c r="I208" s="102">
        <v>0.8758</v>
      </c>
      <c r="J208" s="102">
        <v>0.8568</v>
      </c>
      <c r="K208" s="102">
        <v>0.8362</v>
      </c>
      <c r="L208" s="102">
        <v>0.882</v>
      </c>
      <c r="M208" s="102">
        <v>0.8605</v>
      </c>
      <c r="N208" s="102">
        <v>0.8209</v>
      </c>
    </row>
    <row r="209" ht="15" spans="1:14">
      <c r="A209" s="98"/>
      <c r="B209" s="99">
        <v>25</v>
      </c>
      <c r="C209" s="100">
        <v>0.8566</v>
      </c>
      <c r="D209" s="101">
        <v>0.8441</v>
      </c>
      <c r="E209" s="101">
        <v>0.8329</v>
      </c>
      <c r="F209" s="100">
        <v>0.8712</v>
      </c>
      <c r="G209" s="102">
        <v>0.8534</v>
      </c>
      <c r="H209" s="102">
        <v>0.8367</v>
      </c>
      <c r="I209" s="102">
        <v>0.8771</v>
      </c>
      <c r="J209" s="102">
        <v>0.8562</v>
      </c>
      <c r="K209" s="102">
        <v>0.8279</v>
      </c>
      <c r="L209" s="102">
        <v>0.8815</v>
      </c>
      <c r="M209" s="102">
        <v>0.8581</v>
      </c>
      <c r="N209" s="102">
        <v>0.816</v>
      </c>
    </row>
    <row r="212" ht="15" spans="1:14">
      <c r="A212" s="98">
        <v>0.2</v>
      </c>
      <c r="B212" s="99">
        <v>6</v>
      </c>
      <c r="C212" s="100">
        <v>0.6975</v>
      </c>
      <c r="D212" s="101">
        <v>0.7096</v>
      </c>
      <c r="E212" s="101">
        <v>0.7157</v>
      </c>
      <c r="F212" s="100">
        <v>0.7388</v>
      </c>
      <c r="G212" s="102">
        <v>0.7459</v>
      </c>
      <c r="H212" s="102">
        <v>0.7466</v>
      </c>
      <c r="I212" s="102">
        <v>0.7667</v>
      </c>
      <c r="J212" s="102">
        <v>0.7682</v>
      </c>
      <c r="K212" s="102">
        <v>0.7638</v>
      </c>
      <c r="L212" s="102">
        <v>0.7852</v>
      </c>
      <c r="M212" s="102">
        <v>0.7832</v>
      </c>
      <c r="N212" s="102">
        <v>0.7779</v>
      </c>
    </row>
    <row r="213" ht="15" spans="1:14">
      <c r="A213" s="98"/>
      <c r="B213" s="99">
        <v>7</v>
      </c>
      <c r="C213" s="100">
        <v>0.7211</v>
      </c>
      <c r="D213" s="101">
        <v>0.7297</v>
      </c>
      <c r="E213" s="101">
        <v>0.7321</v>
      </c>
      <c r="F213" s="100">
        <v>0.7588</v>
      </c>
      <c r="G213" s="102">
        <v>0.7611</v>
      </c>
      <c r="H213" s="102">
        <v>0.7591</v>
      </c>
      <c r="I213" s="102">
        <v>0.7823</v>
      </c>
      <c r="J213" s="102">
        <v>0.7805</v>
      </c>
      <c r="K213" s="102">
        <v>0.7733</v>
      </c>
      <c r="L213" s="102">
        <v>0.7997</v>
      </c>
      <c r="M213" s="102">
        <v>0.7948</v>
      </c>
      <c r="N213" s="102">
        <v>0.7869</v>
      </c>
    </row>
    <row r="214" ht="15" spans="1:14">
      <c r="A214" s="98"/>
      <c r="B214" s="99">
        <v>8</v>
      </c>
      <c r="C214" s="100">
        <v>0.7391</v>
      </c>
      <c r="D214" s="101">
        <v>0.7452</v>
      </c>
      <c r="E214" s="101">
        <v>0.746</v>
      </c>
      <c r="F214" s="100">
        <v>0.7718</v>
      </c>
      <c r="G214" s="102">
        <v>0.7713</v>
      </c>
      <c r="H214" s="102">
        <v>0.7694</v>
      </c>
      <c r="I214" s="102">
        <v>0.7931</v>
      </c>
      <c r="J214" s="102">
        <v>0.7892</v>
      </c>
      <c r="K214" s="102">
        <v>0.7819</v>
      </c>
      <c r="L214" s="102">
        <v>0.8091</v>
      </c>
      <c r="M214" s="102">
        <v>0.8024</v>
      </c>
      <c r="N214" s="102">
        <v>0.7934</v>
      </c>
    </row>
    <row r="215" ht="15" spans="1:14">
      <c r="A215" s="98"/>
      <c r="B215" s="99">
        <v>9</v>
      </c>
      <c r="C215" s="100">
        <v>0.7491</v>
      </c>
      <c r="D215" s="101">
        <v>0.752</v>
      </c>
      <c r="E215" s="101">
        <v>0.7529</v>
      </c>
      <c r="F215" s="100">
        <v>0.7802</v>
      </c>
      <c r="G215" s="102">
        <v>0.7776</v>
      </c>
      <c r="H215" s="102">
        <v>0.7738</v>
      </c>
      <c r="I215" s="102">
        <v>0.8009</v>
      </c>
      <c r="J215" s="102">
        <v>0.7958</v>
      </c>
      <c r="K215" s="102">
        <v>0.7861</v>
      </c>
      <c r="L215" s="102">
        <v>0.8132</v>
      </c>
      <c r="M215" s="102">
        <v>0.8068</v>
      </c>
      <c r="N215" s="102">
        <v>0.7966</v>
      </c>
    </row>
    <row r="216" ht="15" spans="1:14">
      <c r="A216" s="98"/>
      <c r="B216" s="99">
        <v>10</v>
      </c>
      <c r="C216" s="100">
        <v>0.762</v>
      </c>
      <c r="D216" s="101">
        <v>0.7633</v>
      </c>
      <c r="E216" s="101">
        <v>0.7613</v>
      </c>
      <c r="F216" s="100">
        <v>0.7898</v>
      </c>
      <c r="G216" s="102">
        <v>0.7867</v>
      </c>
      <c r="H216" s="102">
        <v>0.7827</v>
      </c>
      <c r="I216" s="102">
        <v>0.8083</v>
      </c>
      <c r="J216" s="102">
        <v>0.8036</v>
      </c>
      <c r="K216" s="102">
        <v>0.7915</v>
      </c>
      <c r="L216" s="102">
        <v>0.8196</v>
      </c>
      <c r="M216" s="102">
        <v>0.8135</v>
      </c>
      <c r="N216" s="102">
        <v>0.7992</v>
      </c>
    </row>
    <row r="217" ht="15" spans="1:14">
      <c r="A217" s="98"/>
      <c r="B217" s="99">
        <v>11</v>
      </c>
      <c r="C217" s="100">
        <v>0.777</v>
      </c>
      <c r="D217" s="101">
        <v>0.7751</v>
      </c>
      <c r="E217" s="101">
        <v>0.7731</v>
      </c>
      <c r="F217" s="100">
        <v>0.8041</v>
      </c>
      <c r="G217" s="102">
        <v>0.7997</v>
      </c>
      <c r="H217" s="102">
        <v>0.7932</v>
      </c>
      <c r="I217" s="102">
        <v>0.8223</v>
      </c>
      <c r="J217" s="102">
        <v>0.8177</v>
      </c>
      <c r="K217" s="102">
        <v>0.8055</v>
      </c>
      <c r="L217" s="102">
        <v>0.8334</v>
      </c>
      <c r="M217" s="102">
        <v>0.824</v>
      </c>
      <c r="N217" s="102">
        <v>0.817</v>
      </c>
    </row>
    <row r="218" ht="15" spans="1:14">
      <c r="A218" s="98"/>
      <c r="B218" s="99">
        <v>12</v>
      </c>
      <c r="C218" s="100">
        <v>0.7874</v>
      </c>
      <c r="D218" s="101">
        <v>0.783</v>
      </c>
      <c r="E218" s="101">
        <v>0.7803</v>
      </c>
      <c r="F218" s="100">
        <v>0.8091</v>
      </c>
      <c r="G218" s="102">
        <v>0.8021</v>
      </c>
      <c r="H218" s="102">
        <v>0.8016</v>
      </c>
      <c r="I218" s="102">
        <v>0.8255</v>
      </c>
      <c r="J218" s="102">
        <v>0.8173</v>
      </c>
      <c r="K218" s="102">
        <v>0.8062</v>
      </c>
      <c r="L218" s="102">
        <v>0.8369</v>
      </c>
      <c r="M218" s="102">
        <v>0.8248</v>
      </c>
      <c r="N218" s="102">
        <v>0.8146</v>
      </c>
    </row>
    <row r="219" ht="15" spans="1:14">
      <c r="A219" s="98"/>
      <c r="B219" s="99">
        <v>13</v>
      </c>
      <c r="C219" s="100">
        <v>0.7879</v>
      </c>
      <c r="D219" s="101">
        <v>0.7851</v>
      </c>
      <c r="E219" s="101">
        <v>0.7835</v>
      </c>
      <c r="F219" s="100">
        <v>0.8125</v>
      </c>
      <c r="G219" s="102">
        <v>0.8086</v>
      </c>
      <c r="H219" s="102">
        <v>0.8055</v>
      </c>
      <c r="I219" s="102">
        <v>0.8285</v>
      </c>
      <c r="J219" s="102">
        <v>0.8194</v>
      </c>
      <c r="K219" s="102">
        <v>0.8125</v>
      </c>
      <c r="L219" s="102">
        <v>0.8376</v>
      </c>
      <c r="M219" s="102">
        <v>0.8303</v>
      </c>
      <c r="N219" s="102">
        <v>0.8173</v>
      </c>
    </row>
    <row r="220" ht="15" spans="1:14">
      <c r="A220" s="98"/>
      <c r="B220" s="99">
        <v>14</v>
      </c>
      <c r="C220" s="100">
        <v>0.7999</v>
      </c>
      <c r="D220" s="101">
        <v>0.7968</v>
      </c>
      <c r="E220" s="101">
        <v>0.7883</v>
      </c>
      <c r="F220" s="100">
        <v>0.8209</v>
      </c>
      <c r="G220" s="102">
        <v>0.8113</v>
      </c>
      <c r="H220" s="102">
        <v>0.8032</v>
      </c>
      <c r="I220" s="102">
        <v>0.8332</v>
      </c>
      <c r="J220" s="102">
        <v>0.8231</v>
      </c>
      <c r="K220" s="102">
        <v>0.8118</v>
      </c>
      <c r="L220" s="102">
        <v>0.8404</v>
      </c>
      <c r="M220" s="102">
        <v>0.8334</v>
      </c>
      <c r="N220" s="102">
        <v>0.8166</v>
      </c>
    </row>
    <row r="221" ht="15" spans="1:14">
      <c r="A221" s="98"/>
      <c r="B221" s="99">
        <v>15</v>
      </c>
      <c r="C221" s="100">
        <v>0.8006</v>
      </c>
      <c r="D221" s="101">
        <v>0.7946</v>
      </c>
      <c r="E221" s="101">
        <v>0.7904</v>
      </c>
      <c r="F221" s="100">
        <v>0.8227</v>
      </c>
      <c r="G221" s="102">
        <v>0.8132</v>
      </c>
      <c r="H221" s="102">
        <v>0.81</v>
      </c>
      <c r="I221" s="102">
        <v>0.8368</v>
      </c>
      <c r="J221" s="102">
        <v>0.8269</v>
      </c>
      <c r="K221" s="102">
        <v>0.8171</v>
      </c>
      <c r="L221" s="102">
        <v>0.8444</v>
      </c>
      <c r="M221" s="102">
        <v>0.8363</v>
      </c>
      <c r="N221" s="102">
        <v>0.8206</v>
      </c>
    </row>
    <row r="222" ht="15" spans="1:14">
      <c r="A222" s="98"/>
      <c r="B222" s="99">
        <v>16</v>
      </c>
      <c r="C222" s="100">
        <v>0.8098</v>
      </c>
      <c r="D222" s="101">
        <v>0.8018</v>
      </c>
      <c r="E222" s="101">
        <v>0.7948</v>
      </c>
      <c r="F222" s="100">
        <v>0.8269</v>
      </c>
      <c r="G222" s="102">
        <v>0.815</v>
      </c>
      <c r="H222" s="102">
        <v>0.815</v>
      </c>
      <c r="I222" s="102">
        <v>0.8386</v>
      </c>
      <c r="J222" s="102">
        <v>0.8324</v>
      </c>
      <c r="K222" s="102">
        <v>0.8174</v>
      </c>
      <c r="L222" s="102">
        <v>0.8515</v>
      </c>
      <c r="M222" s="102">
        <v>0.837</v>
      </c>
      <c r="N222" s="102">
        <v>0.8208</v>
      </c>
    </row>
    <row r="223" ht="15" spans="1:14">
      <c r="A223" s="98"/>
      <c r="B223" s="99">
        <v>17</v>
      </c>
      <c r="C223" s="100">
        <v>0.8109</v>
      </c>
      <c r="D223" s="101">
        <v>0.8046</v>
      </c>
      <c r="E223" s="101">
        <v>0.799</v>
      </c>
      <c r="F223" s="100">
        <v>0.8324</v>
      </c>
      <c r="G223" s="102">
        <v>0.8209</v>
      </c>
      <c r="H223" s="102">
        <v>0.8148</v>
      </c>
      <c r="I223" s="102">
        <v>0.8441</v>
      </c>
      <c r="J223" s="102">
        <v>0.8369</v>
      </c>
      <c r="K223" s="102">
        <v>0.8222</v>
      </c>
      <c r="L223" s="102">
        <v>0.8572</v>
      </c>
      <c r="M223" s="102">
        <v>0.8409</v>
      </c>
      <c r="N223" s="102">
        <v>0.8252</v>
      </c>
    </row>
    <row r="224" ht="15" spans="1:14">
      <c r="A224" s="98"/>
      <c r="B224" s="99">
        <v>18</v>
      </c>
      <c r="C224" s="100">
        <v>0.8182</v>
      </c>
      <c r="D224" s="101">
        <v>0.8105</v>
      </c>
      <c r="E224" s="101">
        <v>0.8023</v>
      </c>
      <c r="F224" s="100">
        <v>0.8345</v>
      </c>
      <c r="G224" s="102">
        <v>0.8244</v>
      </c>
      <c r="H224" s="102">
        <v>0.8146</v>
      </c>
      <c r="I224" s="102">
        <v>0.843</v>
      </c>
      <c r="J224" s="102">
        <v>0.8337</v>
      </c>
      <c r="K224" s="102">
        <v>0.8182</v>
      </c>
      <c r="L224" s="102">
        <v>0.8544</v>
      </c>
      <c r="M224" s="102">
        <v>0.84</v>
      </c>
      <c r="N224" s="102">
        <v>0.8223</v>
      </c>
    </row>
    <row r="225" ht="15" spans="1:14">
      <c r="A225" s="98"/>
      <c r="B225" s="99">
        <v>19</v>
      </c>
      <c r="C225" s="100">
        <v>0.8186</v>
      </c>
      <c r="D225" s="101">
        <v>0.811</v>
      </c>
      <c r="E225" s="101">
        <v>0.8028</v>
      </c>
      <c r="F225" s="100">
        <v>0.8343</v>
      </c>
      <c r="G225" s="102">
        <v>0.8269</v>
      </c>
      <c r="H225" s="102">
        <v>0.8202</v>
      </c>
      <c r="I225" s="102">
        <v>0.8507</v>
      </c>
      <c r="J225" s="102">
        <v>0.8376</v>
      </c>
      <c r="K225" s="102">
        <v>0.8214</v>
      </c>
      <c r="L225" s="102">
        <v>0.8542</v>
      </c>
      <c r="M225" s="102">
        <v>0.84</v>
      </c>
      <c r="N225" s="102">
        <v>0.8223</v>
      </c>
    </row>
    <row r="226" ht="15" spans="1:14">
      <c r="A226" s="98"/>
      <c r="B226" s="99">
        <v>20</v>
      </c>
      <c r="C226" s="100">
        <v>0.8193</v>
      </c>
      <c r="D226" s="101">
        <v>0.8125</v>
      </c>
      <c r="E226" s="101">
        <v>0.8055</v>
      </c>
      <c r="F226" s="100">
        <v>0.8372</v>
      </c>
      <c r="G226" s="102">
        <v>0.8312</v>
      </c>
      <c r="H226" s="102">
        <v>0.8302</v>
      </c>
      <c r="I226" s="102">
        <v>0.8543</v>
      </c>
      <c r="J226" s="102">
        <v>0.8396</v>
      </c>
      <c r="K226" s="102">
        <v>0.8241</v>
      </c>
      <c r="L226" s="102">
        <v>0.8606</v>
      </c>
      <c r="M226" s="102">
        <v>0.8424</v>
      </c>
      <c r="N226" s="102">
        <v>0.8202</v>
      </c>
    </row>
    <row r="227" ht="15" spans="1:14">
      <c r="A227" s="98"/>
      <c r="B227" s="99">
        <v>21</v>
      </c>
      <c r="C227" s="100">
        <v>0.8354</v>
      </c>
      <c r="D227" s="101">
        <v>0.8247</v>
      </c>
      <c r="E227" s="101">
        <v>0.8216</v>
      </c>
      <c r="F227" s="100">
        <v>0.8481</v>
      </c>
      <c r="G227" s="102">
        <v>0.8388</v>
      </c>
      <c r="H227" s="102">
        <v>0.8307</v>
      </c>
      <c r="I227" s="102">
        <v>0.8607</v>
      </c>
      <c r="J227" s="102">
        <v>0.8457</v>
      </c>
      <c r="K227" s="102">
        <v>0.8315</v>
      </c>
      <c r="L227" s="102">
        <v>0.8706</v>
      </c>
      <c r="M227" s="102">
        <v>0.8534</v>
      </c>
      <c r="N227" s="102">
        <v>0.8305</v>
      </c>
    </row>
    <row r="228" ht="15" spans="1:14">
      <c r="A228" s="98"/>
      <c r="B228" s="99">
        <v>22</v>
      </c>
      <c r="C228" s="100">
        <v>0.8358</v>
      </c>
      <c r="D228" s="101">
        <v>0.8288</v>
      </c>
      <c r="E228" s="101">
        <v>0.8216</v>
      </c>
      <c r="F228" s="100">
        <v>0.8522</v>
      </c>
      <c r="G228" s="102">
        <v>0.8458</v>
      </c>
      <c r="H228" s="102">
        <v>0.8317</v>
      </c>
      <c r="I228" s="102">
        <v>0.8678</v>
      </c>
      <c r="J228" s="102">
        <v>0.8529</v>
      </c>
      <c r="K228" s="102">
        <v>0.8334</v>
      </c>
      <c r="L228" s="102">
        <v>0.8699</v>
      </c>
      <c r="M228" s="102">
        <v>0.8573</v>
      </c>
      <c r="N228" s="102">
        <v>0.8281</v>
      </c>
    </row>
    <row r="229" ht="15" spans="1:14">
      <c r="A229" s="98"/>
      <c r="B229" s="99">
        <v>23</v>
      </c>
      <c r="C229" s="100">
        <v>0.8441</v>
      </c>
      <c r="D229" s="101">
        <v>0.8331</v>
      </c>
      <c r="E229" s="101">
        <v>0.8255</v>
      </c>
      <c r="F229" s="100">
        <v>0.8567</v>
      </c>
      <c r="G229" s="102">
        <v>0.8433</v>
      </c>
      <c r="H229" s="102">
        <v>0.8316</v>
      </c>
      <c r="I229" s="102">
        <v>0.8675</v>
      </c>
      <c r="J229" s="102">
        <v>0.8511</v>
      </c>
      <c r="K229" s="102">
        <v>0.8349</v>
      </c>
      <c r="L229" s="102">
        <v>0.8693</v>
      </c>
      <c r="M229" s="102">
        <v>0.8488</v>
      </c>
      <c r="N229" s="102">
        <v>0.824</v>
      </c>
    </row>
    <row r="230" ht="15" spans="1:14">
      <c r="A230" s="98"/>
      <c r="B230" s="99">
        <v>24</v>
      </c>
      <c r="C230" s="100">
        <v>0.8393</v>
      </c>
      <c r="D230" s="101">
        <v>0.8264</v>
      </c>
      <c r="E230" s="101">
        <v>0.8222</v>
      </c>
      <c r="F230" s="100">
        <v>0.8543</v>
      </c>
      <c r="G230" s="102">
        <v>0.8418</v>
      </c>
      <c r="H230" s="102">
        <v>0.8293</v>
      </c>
      <c r="I230" s="102">
        <v>0.8632</v>
      </c>
      <c r="J230" s="102">
        <v>0.8518</v>
      </c>
      <c r="K230" s="102">
        <v>0.8303</v>
      </c>
      <c r="L230" s="102">
        <v>0.8699</v>
      </c>
      <c r="M230" s="102">
        <v>0.8509</v>
      </c>
      <c r="N230" s="102">
        <v>0.8271</v>
      </c>
    </row>
    <row r="231" ht="15" spans="1:14">
      <c r="A231" s="98"/>
      <c r="B231" s="99">
        <v>25</v>
      </c>
      <c r="C231" s="100">
        <v>0.8434</v>
      </c>
      <c r="D231" s="101">
        <v>0.8357</v>
      </c>
      <c r="E231" s="101">
        <v>0.8254</v>
      </c>
      <c r="F231" s="100">
        <v>0.861</v>
      </c>
      <c r="G231" s="102">
        <v>0.8475</v>
      </c>
      <c r="H231" s="102">
        <v>0.8336</v>
      </c>
      <c r="I231" s="102">
        <v>0.8693</v>
      </c>
      <c r="J231" s="102">
        <v>0.8545</v>
      </c>
      <c r="K231" s="102">
        <v>0.8282</v>
      </c>
      <c r="L231" s="102">
        <v>0.8732</v>
      </c>
      <c r="M231" s="102">
        <v>0.8525</v>
      </c>
      <c r="N231" s="102">
        <v>0.8261</v>
      </c>
    </row>
    <row r="234" ht="15" spans="1:14">
      <c r="A234" s="98">
        <v>0.15</v>
      </c>
      <c r="B234" s="99">
        <v>6</v>
      </c>
      <c r="C234" s="100">
        <v>0.6465</v>
      </c>
      <c r="D234" s="101">
        <v>0.6654</v>
      </c>
      <c r="E234" s="101">
        <v>0.6765</v>
      </c>
      <c r="F234" s="100">
        <v>0.6939</v>
      </c>
      <c r="G234" s="102">
        <v>0.7081</v>
      </c>
      <c r="H234" s="102">
        <v>0.7119</v>
      </c>
      <c r="I234" s="102">
        <v>0.7279</v>
      </c>
      <c r="J234" s="102">
        <v>0.7354</v>
      </c>
      <c r="K234" s="102">
        <v>0.7354</v>
      </c>
      <c r="L234" s="102">
        <v>0.7505</v>
      </c>
      <c r="M234" s="102">
        <v>0.7552</v>
      </c>
      <c r="N234" s="102">
        <v>0.7535</v>
      </c>
    </row>
    <row r="235" ht="15" spans="1:14">
      <c r="A235" s="98"/>
      <c r="B235" s="99">
        <v>7</v>
      </c>
      <c r="C235" s="100">
        <v>0.6705</v>
      </c>
      <c r="D235" s="101">
        <v>0.6869</v>
      </c>
      <c r="E235" s="101">
        <v>0.6972</v>
      </c>
      <c r="F235" s="100">
        <v>0.7156</v>
      </c>
      <c r="G235" s="102">
        <v>0.7248</v>
      </c>
      <c r="H235" s="102">
        <v>0.7276</v>
      </c>
      <c r="I235" s="102">
        <v>0.7453</v>
      </c>
      <c r="J235" s="102">
        <v>0.7487</v>
      </c>
      <c r="K235" s="102">
        <v>0.7482</v>
      </c>
      <c r="L235" s="102">
        <v>0.767</v>
      </c>
      <c r="M235" s="102">
        <v>0.7689</v>
      </c>
      <c r="N235" s="102">
        <v>0.7646</v>
      </c>
    </row>
    <row r="236" ht="15" spans="1:14">
      <c r="A236" s="98"/>
      <c r="B236" s="99">
        <v>8</v>
      </c>
      <c r="C236" s="100">
        <v>0.6921</v>
      </c>
      <c r="D236" s="101">
        <v>0.7045</v>
      </c>
      <c r="E236" s="101">
        <v>0.7119</v>
      </c>
      <c r="F236" s="100">
        <v>0.7329</v>
      </c>
      <c r="G236" s="102">
        <v>0.7388</v>
      </c>
      <c r="H236" s="102">
        <v>0.74</v>
      </c>
      <c r="I236" s="102">
        <v>0.7599</v>
      </c>
      <c r="J236" s="102">
        <v>0.762</v>
      </c>
      <c r="K236" s="102">
        <v>0.7595</v>
      </c>
      <c r="L236" s="102">
        <v>0.7794</v>
      </c>
      <c r="M236" s="102">
        <v>0.7805</v>
      </c>
      <c r="N236" s="102">
        <v>0.7731</v>
      </c>
    </row>
    <row r="237" ht="15" spans="1:14">
      <c r="A237" s="98"/>
      <c r="B237" s="99">
        <v>9</v>
      </c>
      <c r="C237" s="100">
        <v>0.7066</v>
      </c>
      <c r="D237" s="101">
        <v>0.7156</v>
      </c>
      <c r="E237" s="101">
        <v>0.7216</v>
      </c>
      <c r="F237" s="100">
        <v>0.7446</v>
      </c>
      <c r="G237" s="102">
        <v>0.7478</v>
      </c>
      <c r="H237" s="102">
        <v>0.7465</v>
      </c>
      <c r="I237" s="102">
        <v>0.7681</v>
      </c>
      <c r="J237" s="102">
        <v>0.7699</v>
      </c>
      <c r="K237" s="102">
        <v>0.7654</v>
      </c>
      <c r="L237" s="102">
        <v>0.7876</v>
      </c>
      <c r="M237" s="102">
        <v>0.7846</v>
      </c>
      <c r="N237" s="102">
        <v>0.7772</v>
      </c>
    </row>
    <row r="238" ht="15" spans="1:14">
      <c r="A238" s="98"/>
      <c r="B238" s="99">
        <v>10</v>
      </c>
      <c r="C238" s="100">
        <v>0.7215</v>
      </c>
      <c r="D238" s="101">
        <v>0.7283</v>
      </c>
      <c r="E238" s="101">
        <v>0.7319</v>
      </c>
      <c r="F238" s="100">
        <v>0.756</v>
      </c>
      <c r="G238" s="102">
        <v>0.7577</v>
      </c>
      <c r="H238" s="102">
        <v>0.7563</v>
      </c>
      <c r="I238" s="102">
        <v>0.7792</v>
      </c>
      <c r="J238" s="102">
        <v>0.779</v>
      </c>
      <c r="K238" s="102">
        <v>0.772</v>
      </c>
      <c r="L238" s="102">
        <v>0.7959</v>
      </c>
      <c r="M238" s="102">
        <v>0.7909</v>
      </c>
      <c r="N238" s="102">
        <v>0.7824</v>
      </c>
    </row>
    <row r="239" ht="15" spans="1:14">
      <c r="A239" s="98"/>
      <c r="B239" s="99">
        <v>11</v>
      </c>
      <c r="C239" s="100">
        <v>0.7428</v>
      </c>
      <c r="D239" s="101">
        <v>0.7472</v>
      </c>
      <c r="E239" s="101">
        <v>0.7516</v>
      </c>
      <c r="F239" s="100">
        <v>0.7728</v>
      </c>
      <c r="G239" s="102">
        <v>0.775</v>
      </c>
      <c r="H239" s="102">
        <v>0.7731</v>
      </c>
      <c r="I239" s="102">
        <v>0.7978</v>
      </c>
      <c r="J239" s="102">
        <v>0.7948</v>
      </c>
      <c r="K239" s="102">
        <v>0.7871</v>
      </c>
      <c r="L239" s="102">
        <v>0.8121</v>
      </c>
      <c r="M239" s="102">
        <v>0.8058</v>
      </c>
      <c r="N239" s="102">
        <v>0.8005</v>
      </c>
    </row>
    <row r="240" ht="15" spans="1:14">
      <c r="A240" s="98"/>
      <c r="B240" s="99">
        <v>12</v>
      </c>
      <c r="C240" s="100">
        <v>0.756</v>
      </c>
      <c r="D240" s="101">
        <v>0.7578</v>
      </c>
      <c r="E240" s="101">
        <v>0.7572</v>
      </c>
      <c r="F240" s="100">
        <v>0.7849</v>
      </c>
      <c r="G240" s="102">
        <v>0.7844</v>
      </c>
      <c r="H240" s="102">
        <v>0.7787</v>
      </c>
      <c r="I240" s="102">
        <v>0.8042</v>
      </c>
      <c r="J240" s="102">
        <v>0.7997</v>
      </c>
      <c r="K240" s="102">
        <v>0.7916</v>
      </c>
      <c r="L240" s="102">
        <v>0.8164</v>
      </c>
      <c r="M240" s="102">
        <v>0.8087</v>
      </c>
      <c r="N240" s="102">
        <v>0.8005</v>
      </c>
    </row>
    <row r="241" ht="15" spans="1:14">
      <c r="A241" s="98"/>
      <c r="B241" s="99">
        <v>13</v>
      </c>
      <c r="C241" s="100">
        <v>0.7595</v>
      </c>
      <c r="D241" s="101">
        <v>0.7607</v>
      </c>
      <c r="E241" s="101">
        <v>0.7591</v>
      </c>
      <c r="F241" s="100">
        <v>0.7881</v>
      </c>
      <c r="G241" s="102">
        <v>0.7873</v>
      </c>
      <c r="H241" s="102">
        <v>0.7806</v>
      </c>
      <c r="I241" s="102">
        <v>0.805</v>
      </c>
      <c r="J241" s="102">
        <v>0.802</v>
      </c>
      <c r="K241" s="102">
        <v>0.7911</v>
      </c>
      <c r="L241" s="102">
        <v>0.8166</v>
      </c>
      <c r="M241" s="102">
        <v>0.8097</v>
      </c>
      <c r="N241" s="102">
        <v>0.7984</v>
      </c>
    </row>
    <row r="242" ht="15" spans="1:14">
      <c r="A242" s="98"/>
      <c r="B242" s="99">
        <v>14</v>
      </c>
      <c r="C242" s="100">
        <v>0.7657</v>
      </c>
      <c r="D242" s="101">
        <v>0.7664</v>
      </c>
      <c r="E242" s="101">
        <v>0.7641</v>
      </c>
      <c r="F242" s="100">
        <v>0.7919</v>
      </c>
      <c r="G242" s="102">
        <v>0.7894</v>
      </c>
      <c r="H242" s="102">
        <v>0.7831</v>
      </c>
      <c r="I242" s="102">
        <v>0.8094</v>
      </c>
      <c r="J242" s="102">
        <v>0.805</v>
      </c>
      <c r="K242" s="102">
        <v>0.7931</v>
      </c>
      <c r="L242" s="102">
        <v>0.8207</v>
      </c>
      <c r="M242" s="102">
        <v>0.8119</v>
      </c>
      <c r="N242" s="102">
        <v>0.8047</v>
      </c>
    </row>
    <row r="243" ht="15" spans="1:14">
      <c r="A243" s="98"/>
      <c r="B243" s="99">
        <v>15</v>
      </c>
      <c r="C243" s="100">
        <v>0.7686</v>
      </c>
      <c r="D243" s="101">
        <v>0.7699</v>
      </c>
      <c r="E243" s="101">
        <v>0.7686</v>
      </c>
      <c r="F243" s="100">
        <v>0.7955</v>
      </c>
      <c r="G243" s="102">
        <v>0.7921</v>
      </c>
      <c r="H243" s="102">
        <v>0.7862</v>
      </c>
      <c r="I243" s="102">
        <v>0.8135</v>
      </c>
      <c r="J243" s="102">
        <v>0.8072</v>
      </c>
      <c r="K243" s="102">
        <v>0.7996</v>
      </c>
      <c r="L243" s="102">
        <v>0.8231</v>
      </c>
      <c r="M243" s="102">
        <v>0.8142</v>
      </c>
      <c r="N243" s="102">
        <v>0.807</v>
      </c>
    </row>
    <row r="244" ht="15" spans="1:14">
      <c r="A244" s="98"/>
      <c r="B244" s="99">
        <v>16</v>
      </c>
      <c r="C244" s="100">
        <v>0.7783</v>
      </c>
      <c r="D244" s="101">
        <v>0.7781</v>
      </c>
      <c r="E244" s="101">
        <v>0.7747</v>
      </c>
      <c r="F244" s="100">
        <v>0.8071</v>
      </c>
      <c r="G244" s="102">
        <v>0.8024</v>
      </c>
      <c r="H244" s="102">
        <v>0.7921</v>
      </c>
      <c r="I244" s="102">
        <v>0.8221</v>
      </c>
      <c r="J244" s="102">
        <v>0.8129</v>
      </c>
      <c r="K244" s="102">
        <v>0.8035</v>
      </c>
      <c r="L244" s="102">
        <v>0.829</v>
      </c>
      <c r="M244" s="102">
        <v>0.819</v>
      </c>
      <c r="N244" s="102">
        <v>0.8094</v>
      </c>
    </row>
    <row r="245" ht="15" spans="1:14">
      <c r="A245" s="98"/>
      <c r="B245" s="99">
        <v>17</v>
      </c>
      <c r="C245" s="100">
        <v>0.7807</v>
      </c>
      <c r="D245" s="101">
        <v>0.781</v>
      </c>
      <c r="E245" s="101">
        <v>0.7769</v>
      </c>
      <c r="F245" s="100">
        <v>0.8066</v>
      </c>
      <c r="G245" s="102">
        <v>0.8007</v>
      </c>
      <c r="H245" s="102">
        <v>0.7925</v>
      </c>
      <c r="I245" s="102">
        <v>0.8217</v>
      </c>
      <c r="J245" s="102">
        <v>0.8112</v>
      </c>
      <c r="K245" s="102">
        <v>0.8064</v>
      </c>
      <c r="L245" s="102">
        <v>0.8296</v>
      </c>
      <c r="M245" s="102">
        <v>0.8211</v>
      </c>
      <c r="N245" s="102">
        <v>0.8139</v>
      </c>
    </row>
    <row r="246" ht="15" spans="1:14">
      <c r="A246" s="98"/>
      <c r="B246" s="99">
        <v>18</v>
      </c>
      <c r="C246" s="100">
        <v>0.7891</v>
      </c>
      <c r="D246" s="101">
        <v>0.7881</v>
      </c>
      <c r="E246" s="101">
        <v>0.7816</v>
      </c>
      <c r="F246" s="100">
        <v>0.8114</v>
      </c>
      <c r="G246" s="102">
        <v>0.8028</v>
      </c>
      <c r="H246" s="102">
        <v>0.794</v>
      </c>
      <c r="I246" s="102">
        <v>0.8248</v>
      </c>
      <c r="J246" s="102">
        <v>0.8131</v>
      </c>
      <c r="K246" s="102">
        <v>0.8091</v>
      </c>
      <c r="L246" s="102">
        <v>0.8318</v>
      </c>
      <c r="M246" s="102">
        <v>0.8248</v>
      </c>
      <c r="N246" s="102">
        <v>0.8143</v>
      </c>
    </row>
    <row r="247" ht="15" spans="1:14">
      <c r="A247" s="98"/>
      <c r="B247" s="99">
        <v>19</v>
      </c>
      <c r="C247" s="100">
        <v>0.7928</v>
      </c>
      <c r="D247" s="101">
        <v>0.7898</v>
      </c>
      <c r="E247" s="101">
        <v>0.7844</v>
      </c>
      <c r="F247" s="100">
        <v>0.8164</v>
      </c>
      <c r="G247" s="102">
        <v>0.808</v>
      </c>
      <c r="H247" s="102">
        <v>0.7958</v>
      </c>
      <c r="I247" s="102">
        <v>0.8284</v>
      </c>
      <c r="J247" s="102">
        <v>0.817</v>
      </c>
      <c r="K247" s="102">
        <v>0.8094</v>
      </c>
      <c r="L247" s="102">
        <v>0.8345</v>
      </c>
      <c r="M247" s="102">
        <v>0.827</v>
      </c>
      <c r="N247" s="102">
        <v>0.8173</v>
      </c>
    </row>
    <row r="248" ht="15" spans="1:14">
      <c r="A248" s="98"/>
      <c r="B248" s="99">
        <v>20</v>
      </c>
      <c r="C248" s="100">
        <v>0.7952</v>
      </c>
      <c r="D248" s="101">
        <v>0.7918</v>
      </c>
      <c r="E248" s="101">
        <v>0.7862</v>
      </c>
      <c r="F248" s="100">
        <v>0.8166</v>
      </c>
      <c r="G248" s="102">
        <v>0.8071</v>
      </c>
      <c r="H248" s="102">
        <v>0.7993</v>
      </c>
      <c r="I248" s="102">
        <v>0.8286</v>
      </c>
      <c r="J248" s="102">
        <v>0.8218</v>
      </c>
      <c r="K248" s="102">
        <v>0.8226</v>
      </c>
      <c r="L248" s="102">
        <v>0.8346</v>
      </c>
      <c r="M248" s="102">
        <v>0.8278</v>
      </c>
      <c r="N248" s="102">
        <v>0.8205</v>
      </c>
    </row>
    <row r="249" ht="15" spans="1:14">
      <c r="A249" s="98"/>
      <c r="B249" s="99">
        <v>21</v>
      </c>
      <c r="C249" s="100">
        <v>0.8162</v>
      </c>
      <c r="D249" s="101">
        <v>0.8107</v>
      </c>
      <c r="E249" s="101">
        <v>0.8012</v>
      </c>
      <c r="F249" s="100">
        <v>0.8342</v>
      </c>
      <c r="G249" s="102">
        <v>0.8249</v>
      </c>
      <c r="H249" s="102">
        <v>0.8176</v>
      </c>
      <c r="I249" s="102">
        <v>0.8455</v>
      </c>
      <c r="J249" s="102">
        <v>0.8393</v>
      </c>
      <c r="K249" s="102">
        <v>0.823</v>
      </c>
      <c r="L249" s="102">
        <v>0.8542</v>
      </c>
      <c r="M249" s="102">
        <v>0.8419</v>
      </c>
      <c r="N249" s="102">
        <v>0.8298</v>
      </c>
    </row>
    <row r="250" ht="15" spans="1:14">
      <c r="A250" s="98"/>
      <c r="B250" s="99">
        <v>22</v>
      </c>
      <c r="C250" s="100">
        <v>0.816</v>
      </c>
      <c r="D250" s="101">
        <v>0.8094</v>
      </c>
      <c r="E250" s="101">
        <v>0.8016</v>
      </c>
      <c r="F250" s="100">
        <v>0.8341</v>
      </c>
      <c r="G250" s="102">
        <v>0.8247</v>
      </c>
      <c r="H250" s="102">
        <v>0.8197</v>
      </c>
      <c r="I250" s="102">
        <v>0.8457</v>
      </c>
      <c r="J250" s="102">
        <v>0.8412</v>
      </c>
      <c r="K250" s="102">
        <v>0.8237</v>
      </c>
      <c r="L250" s="102">
        <v>0.8586</v>
      </c>
      <c r="M250" s="102">
        <v>0.8447</v>
      </c>
      <c r="N250" s="102">
        <v>0.8341</v>
      </c>
    </row>
    <row r="251" ht="15" spans="1:14">
      <c r="A251" s="98"/>
      <c r="B251" s="99">
        <v>23</v>
      </c>
      <c r="C251" s="100">
        <v>0.8148</v>
      </c>
      <c r="D251" s="101">
        <v>0.8083</v>
      </c>
      <c r="E251" s="101">
        <v>0.8022</v>
      </c>
      <c r="F251" s="100">
        <v>0.8326</v>
      </c>
      <c r="G251" s="102">
        <v>0.8231</v>
      </c>
      <c r="H251" s="102">
        <v>0.8182</v>
      </c>
      <c r="I251" s="102">
        <v>0.8451</v>
      </c>
      <c r="J251" s="102">
        <v>0.8401</v>
      </c>
      <c r="K251" s="102">
        <v>0.8244</v>
      </c>
      <c r="L251" s="102">
        <v>0.8558</v>
      </c>
      <c r="M251" s="102">
        <v>0.8441</v>
      </c>
      <c r="N251" s="102">
        <v>0.8333</v>
      </c>
    </row>
    <row r="252" ht="15" spans="1:14">
      <c r="A252" s="98"/>
      <c r="B252" s="99">
        <v>24</v>
      </c>
      <c r="C252" s="100">
        <v>0.819</v>
      </c>
      <c r="D252" s="101">
        <v>0.8101</v>
      </c>
      <c r="E252" s="101">
        <v>0.8025</v>
      </c>
      <c r="F252" s="100">
        <v>0.8346</v>
      </c>
      <c r="G252" s="102">
        <v>0.8226</v>
      </c>
      <c r="H252" s="102">
        <v>0.8172</v>
      </c>
      <c r="I252" s="102">
        <v>0.8449</v>
      </c>
      <c r="J252" s="102">
        <v>0.8394</v>
      </c>
      <c r="K252" s="102">
        <v>0.8246</v>
      </c>
      <c r="L252" s="102">
        <v>0.8564</v>
      </c>
      <c r="M252" s="102">
        <v>0.8409</v>
      </c>
      <c r="N252" s="102">
        <v>0.8313</v>
      </c>
    </row>
    <row r="253" ht="15" spans="1:14">
      <c r="A253" s="98"/>
      <c r="B253" s="99">
        <v>25</v>
      </c>
      <c r="C253" s="100">
        <v>0.8232</v>
      </c>
      <c r="D253" s="101">
        <v>0.8141</v>
      </c>
      <c r="E253" s="101">
        <v>0.8051</v>
      </c>
      <c r="F253" s="100">
        <v>0.8398</v>
      </c>
      <c r="G253" s="102">
        <v>0.8314</v>
      </c>
      <c r="H253" s="102">
        <v>0.822</v>
      </c>
      <c r="I253" s="102">
        <v>0.8472</v>
      </c>
      <c r="J253" s="102">
        <v>0.8389</v>
      </c>
      <c r="K253" s="102">
        <v>0.8222</v>
      </c>
      <c r="L253" s="102">
        <v>0.8575</v>
      </c>
      <c r="M253" s="102">
        <v>0.8402</v>
      </c>
      <c r="N253" s="102">
        <v>0.8311</v>
      </c>
    </row>
    <row r="256" ht="15" spans="1:14">
      <c r="A256" s="98">
        <v>0.1</v>
      </c>
      <c r="B256" s="99">
        <v>6</v>
      </c>
      <c r="C256" s="100">
        <v>0.5669</v>
      </c>
      <c r="D256" s="101">
        <v>0.5955</v>
      </c>
      <c r="E256" s="101">
        <v>0.6131</v>
      </c>
      <c r="F256" s="100">
        <v>0.6225</v>
      </c>
      <c r="G256" s="102">
        <v>0.6453</v>
      </c>
      <c r="H256" s="102">
        <v>0.6594</v>
      </c>
      <c r="I256" s="102">
        <v>0.6617</v>
      </c>
      <c r="J256" s="102">
        <v>0.6791</v>
      </c>
      <c r="K256" s="102">
        <v>0.6882</v>
      </c>
      <c r="L256" s="102">
        <v>0.691</v>
      </c>
      <c r="M256" s="102">
        <v>0.7072</v>
      </c>
      <c r="N256" s="102">
        <v>0.7112</v>
      </c>
    </row>
    <row r="257" ht="15" spans="1:14">
      <c r="A257" s="98"/>
      <c r="B257" s="99">
        <v>7</v>
      </c>
      <c r="C257" s="100">
        <v>0.596</v>
      </c>
      <c r="D257" s="101">
        <v>0.6215</v>
      </c>
      <c r="E257" s="101">
        <v>0.6382</v>
      </c>
      <c r="F257" s="100">
        <v>0.6479</v>
      </c>
      <c r="G257" s="102">
        <v>0.6677</v>
      </c>
      <c r="H257" s="102">
        <v>0.6777</v>
      </c>
      <c r="I257" s="102">
        <v>0.6849</v>
      </c>
      <c r="J257" s="102">
        <v>0.6996</v>
      </c>
      <c r="K257" s="102">
        <v>0.7048</v>
      </c>
      <c r="L257" s="102">
        <v>0.7132</v>
      </c>
      <c r="M257" s="102">
        <v>0.7243</v>
      </c>
      <c r="N257" s="102">
        <v>0.7247</v>
      </c>
    </row>
    <row r="258" ht="15" spans="1:14">
      <c r="A258" s="98"/>
      <c r="B258" s="99">
        <v>8</v>
      </c>
      <c r="C258" s="100">
        <v>0.6211</v>
      </c>
      <c r="D258" s="101">
        <v>0.6432</v>
      </c>
      <c r="E258" s="101">
        <v>0.6584</v>
      </c>
      <c r="F258" s="100">
        <v>0.6711</v>
      </c>
      <c r="G258" s="102">
        <v>0.687</v>
      </c>
      <c r="H258" s="102">
        <v>0.696</v>
      </c>
      <c r="I258" s="102">
        <v>0.7057</v>
      </c>
      <c r="J258" s="102">
        <v>0.7171</v>
      </c>
      <c r="K258" s="102">
        <v>0.7204</v>
      </c>
      <c r="L258" s="102">
        <v>0.7301</v>
      </c>
      <c r="M258" s="102">
        <v>0.7394</v>
      </c>
      <c r="N258" s="102">
        <v>0.7381</v>
      </c>
    </row>
    <row r="259" ht="15" spans="1:14">
      <c r="A259" s="98"/>
      <c r="B259" s="99">
        <v>9</v>
      </c>
      <c r="C259" s="100">
        <v>0.6387</v>
      </c>
      <c r="D259" s="101">
        <v>0.6576</v>
      </c>
      <c r="E259" s="101">
        <v>0.6701</v>
      </c>
      <c r="F259" s="100">
        <v>0.6863</v>
      </c>
      <c r="G259" s="102">
        <v>0.6979</v>
      </c>
      <c r="H259" s="102">
        <v>0.7048</v>
      </c>
      <c r="I259" s="102">
        <v>0.7175</v>
      </c>
      <c r="J259" s="102">
        <v>0.7277</v>
      </c>
      <c r="K259" s="102">
        <v>0.727</v>
      </c>
      <c r="L259" s="102">
        <v>0.7394</v>
      </c>
      <c r="M259" s="102">
        <v>0.745</v>
      </c>
      <c r="N259" s="102">
        <v>0.7432</v>
      </c>
    </row>
    <row r="260" ht="15" spans="1:14">
      <c r="A260" s="98"/>
      <c r="B260" s="99">
        <v>10</v>
      </c>
      <c r="C260" s="100">
        <v>0.6558</v>
      </c>
      <c r="D260" s="101">
        <v>0.6727</v>
      </c>
      <c r="E260" s="101">
        <v>0.6826</v>
      </c>
      <c r="F260" s="100">
        <v>0.6992</v>
      </c>
      <c r="G260" s="102">
        <v>0.7108</v>
      </c>
      <c r="H260" s="102">
        <v>0.7161</v>
      </c>
      <c r="I260" s="102">
        <v>0.7307</v>
      </c>
      <c r="J260" s="102">
        <v>0.7372</v>
      </c>
      <c r="K260" s="102">
        <v>0.7359</v>
      </c>
      <c r="L260" s="102">
        <v>0.7509</v>
      </c>
      <c r="M260" s="102">
        <v>0.7531</v>
      </c>
      <c r="N260" s="102">
        <v>0.7495</v>
      </c>
    </row>
    <row r="261" ht="15" spans="1:14">
      <c r="A261" s="98"/>
      <c r="B261" s="99">
        <v>11</v>
      </c>
      <c r="C261" s="100">
        <v>0.6849</v>
      </c>
      <c r="D261" s="101">
        <v>0.7005</v>
      </c>
      <c r="E261" s="101">
        <v>0.7073</v>
      </c>
      <c r="F261" s="100">
        <v>0.7265</v>
      </c>
      <c r="G261" s="102">
        <v>0.7358</v>
      </c>
      <c r="H261" s="102">
        <v>0.738</v>
      </c>
      <c r="I261" s="102">
        <v>0.757</v>
      </c>
      <c r="J261" s="102">
        <v>0.7613</v>
      </c>
      <c r="K261" s="102">
        <v>0.7565</v>
      </c>
      <c r="L261" s="102">
        <v>0.7731</v>
      </c>
      <c r="M261" s="102">
        <v>0.7736</v>
      </c>
      <c r="N261" s="102">
        <v>0.7679</v>
      </c>
    </row>
    <row r="262" ht="15" spans="1:14">
      <c r="A262" s="98"/>
      <c r="B262" s="99">
        <v>12</v>
      </c>
      <c r="C262" s="100">
        <v>0.6954</v>
      </c>
      <c r="D262" s="101">
        <v>0.708</v>
      </c>
      <c r="E262" s="101">
        <v>0.7182</v>
      </c>
      <c r="F262" s="100">
        <v>0.7379</v>
      </c>
      <c r="G262" s="102">
        <v>0.7445</v>
      </c>
      <c r="H262" s="102">
        <v>0.747</v>
      </c>
      <c r="I262" s="102">
        <v>0.765</v>
      </c>
      <c r="J262" s="102">
        <v>0.7667</v>
      </c>
      <c r="K262" s="102">
        <v>0.7624</v>
      </c>
      <c r="L262" s="102">
        <v>0.7812</v>
      </c>
      <c r="M262" s="102">
        <v>0.7794</v>
      </c>
      <c r="N262" s="102">
        <v>0.7751</v>
      </c>
    </row>
    <row r="263" ht="15" spans="1:14">
      <c r="A263" s="98"/>
      <c r="B263" s="99">
        <v>13</v>
      </c>
      <c r="C263" s="100">
        <v>0.7043</v>
      </c>
      <c r="D263" s="101">
        <v>0.7148</v>
      </c>
      <c r="E263" s="101">
        <v>0.72</v>
      </c>
      <c r="F263" s="100">
        <v>0.7408</v>
      </c>
      <c r="G263" s="102">
        <v>0.7449</v>
      </c>
      <c r="H263" s="102">
        <v>0.7457</v>
      </c>
      <c r="I263" s="102">
        <v>0.7655</v>
      </c>
      <c r="J263" s="102">
        <v>0.7663</v>
      </c>
      <c r="K263" s="102">
        <v>0.7623</v>
      </c>
      <c r="L263" s="102">
        <v>0.7807</v>
      </c>
      <c r="M263" s="102">
        <v>0.7782</v>
      </c>
      <c r="N263" s="102">
        <v>0.7755</v>
      </c>
    </row>
    <row r="264" ht="15" spans="1:14">
      <c r="A264" s="98"/>
      <c r="B264" s="99">
        <v>14</v>
      </c>
      <c r="C264" s="100">
        <v>0.712</v>
      </c>
      <c r="D264" s="101">
        <v>0.7217</v>
      </c>
      <c r="E264" s="101">
        <v>0.7276</v>
      </c>
      <c r="F264" s="100">
        <v>0.7488</v>
      </c>
      <c r="G264" s="102">
        <v>0.7527</v>
      </c>
      <c r="H264" s="102">
        <v>0.7512</v>
      </c>
      <c r="I264" s="102">
        <v>0.7715</v>
      </c>
      <c r="J264" s="102">
        <v>0.7707</v>
      </c>
      <c r="K264" s="102">
        <v>0.7663</v>
      </c>
      <c r="L264" s="102">
        <v>0.7847</v>
      </c>
      <c r="M264" s="102">
        <v>0.7823</v>
      </c>
      <c r="N264" s="102">
        <v>0.7788</v>
      </c>
    </row>
    <row r="265" ht="15" spans="1:14">
      <c r="A265" s="98"/>
      <c r="B265" s="99">
        <v>15</v>
      </c>
      <c r="C265" s="100">
        <v>0.7202</v>
      </c>
      <c r="D265" s="101">
        <v>0.729</v>
      </c>
      <c r="E265" s="101">
        <v>0.7305</v>
      </c>
      <c r="F265" s="100">
        <v>0.7544</v>
      </c>
      <c r="G265" s="102">
        <v>0.7577</v>
      </c>
      <c r="H265" s="102">
        <v>0.7527</v>
      </c>
      <c r="I265" s="102">
        <v>0.7832</v>
      </c>
      <c r="J265" s="102">
        <v>0.7747</v>
      </c>
      <c r="K265" s="102">
        <v>0.7679</v>
      </c>
      <c r="L265" s="102">
        <v>0.7894</v>
      </c>
      <c r="M265" s="102">
        <v>0.7847</v>
      </c>
      <c r="N265" s="102">
        <v>0.7841</v>
      </c>
    </row>
    <row r="266" ht="15" spans="1:14">
      <c r="A266" s="98"/>
      <c r="B266" s="99">
        <v>16</v>
      </c>
      <c r="C266" s="100">
        <v>0.7333</v>
      </c>
      <c r="D266" s="101">
        <v>0.7395</v>
      </c>
      <c r="E266" s="101">
        <v>0.7396</v>
      </c>
      <c r="F266" s="100">
        <v>0.762</v>
      </c>
      <c r="G266" s="102">
        <v>0.7655</v>
      </c>
      <c r="H266" s="102">
        <v>0.7624</v>
      </c>
      <c r="I266" s="102">
        <v>0.7853</v>
      </c>
      <c r="J266" s="102">
        <v>0.7819</v>
      </c>
      <c r="K266" s="102">
        <v>0.7736</v>
      </c>
      <c r="L266" s="102">
        <v>0.7948</v>
      </c>
      <c r="M266" s="102">
        <v>0.7914</v>
      </c>
      <c r="N266" s="102">
        <v>0.7864</v>
      </c>
    </row>
    <row r="267" ht="15" spans="1:14">
      <c r="A267" s="98"/>
      <c r="B267" s="99">
        <v>17</v>
      </c>
      <c r="C267" s="100">
        <v>0.7387</v>
      </c>
      <c r="D267" s="101">
        <v>0.7444</v>
      </c>
      <c r="E267" s="101">
        <v>0.743</v>
      </c>
      <c r="F267" s="100">
        <v>0.7655</v>
      </c>
      <c r="G267" s="102">
        <v>0.7671</v>
      </c>
      <c r="H267" s="102">
        <v>0.7648</v>
      </c>
      <c r="I267" s="102">
        <v>0.7887</v>
      </c>
      <c r="J267" s="102">
        <v>0.7841</v>
      </c>
      <c r="K267" s="102">
        <v>0.7757</v>
      </c>
      <c r="L267" s="102">
        <v>0.7998</v>
      </c>
      <c r="M267" s="102">
        <v>0.7936</v>
      </c>
      <c r="N267" s="102">
        <v>0.7873</v>
      </c>
    </row>
    <row r="268" ht="15" spans="1:14">
      <c r="A268" s="98"/>
      <c r="B268" s="99">
        <v>18</v>
      </c>
      <c r="C268" s="100">
        <v>0.7443</v>
      </c>
      <c r="D268" s="101">
        <v>0.7485</v>
      </c>
      <c r="E268" s="101">
        <v>0.7469</v>
      </c>
      <c r="F268" s="100">
        <v>0.7706</v>
      </c>
      <c r="G268" s="102">
        <v>0.7707</v>
      </c>
      <c r="H268" s="102">
        <v>0.7674</v>
      </c>
      <c r="I268" s="102">
        <v>0.7924</v>
      </c>
      <c r="J268" s="102">
        <v>0.7864</v>
      </c>
      <c r="K268" s="102">
        <v>0.7771</v>
      </c>
      <c r="L268" s="102">
        <v>0.8024</v>
      </c>
      <c r="M268" s="102">
        <v>0.7958</v>
      </c>
      <c r="N268" s="102">
        <v>0.7904</v>
      </c>
    </row>
    <row r="269" ht="15" spans="1:14">
      <c r="A269" s="98"/>
      <c r="B269" s="99">
        <v>19</v>
      </c>
      <c r="C269" s="100">
        <v>0.7494</v>
      </c>
      <c r="D269" s="101">
        <v>0.7527</v>
      </c>
      <c r="E269" s="101">
        <v>0.7511</v>
      </c>
      <c r="F269" s="100">
        <v>0.775</v>
      </c>
      <c r="G269" s="102">
        <v>0.7746</v>
      </c>
      <c r="H269" s="102">
        <v>0.7698</v>
      </c>
      <c r="I269" s="102">
        <v>0.7983</v>
      </c>
      <c r="J269" s="102">
        <v>0.7893</v>
      </c>
      <c r="K269" s="102">
        <v>0.7802</v>
      </c>
      <c r="L269" s="102">
        <v>0.8055</v>
      </c>
      <c r="M269" s="102">
        <v>0.7983</v>
      </c>
      <c r="N269" s="102">
        <v>0.8007</v>
      </c>
    </row>
    <row r="270" ht="15" spans="1:14">
      <c r="A270" s="98"/>
      <c r="B270" s="99">
        <v>20</v>
      </c>
      <c r="C270" s="100">
        <v>0.7533</v>
      </c>
      <c r="D270" s="101">
        <v>0.7569</v>
      </c>
      <c r="E270" s="101">
        <v>0.7555</v>
      </c>
      <c r="F270" s="100">
        <v>0.7802</v>
      </c>
      <c r="G270" s="102">
        <v>0.7697</v>
      </c>
      <c r="H270" s="102">
        <v>0.7727</v>
      </c>
      <c r="I270" s="102">
        <v>0.818</v>
      </c>
      <c r="J270" s="102">
        <v>0.7915</v>
      </c>
      <c r="K270" s="102">
        <v>0.782</v>
      </c>
      <c r="L270" s="102">
        <v>0.8082</v>
      </c>
      <c r="M270" s="102">
        <v>0.8007</v>
      </c>
      <c r="N270" s="102">
        <v>0.8146</v>
      </c>
    </row>
    <row r="271" ht="15" spans="1:14">
      <c r="A271" s="98"/>
      <c r="B271" s="99">
        <v>21</v>
      </c>
      <c r="C271" s="100">
        <v>0.7755</v>
      </c>
      <c r="D271" s="101">
        <v>0.7764</v>
      </c>
      <c r="E271" s="101">
        <v>0.7735</v>
      </c>
      <c r="F271" s="100">
        <v>0.7984</v>
      </c>
      <c r="G271" s="102">
        <v>0.7948</v>
      </c>
      <c r="H271" s="102">
        <v>0.7885</v>
      </c>
      <c r="I271" s="102">
        <v>0.8188</v>
      </c>
      <c r="J271" s="102">
        <v>0.8103</v>
      </c>
      <c r="K271" s="102">
        <v>0.7985</v>
      </c>
      <c r="L271" s="102">
        <v>0.8253</v>
      </c>
      <c r="M271" s="102">
        <v>0.8158</v>
      </c>
      <c r="N271" s="102">
        <v>0.8156</v>
      </c>
    </row>
    <row r="272" ht="15" spans="1:14">
      <c r="A272" s="98"/>
      <c r="B272" s="99">
        <v>22</v>
      </c>
      <c r="C272" s="100">
        <v>0.7772</v>
      </c>
      <c r="D272" s="101">
        <v>0.777</v>
      </c>
      <c r="E272" s="101">
        <v>0.7758</v>
      </c>
      <c r="F272" s="100">
        <v>0.8021</v>
      </c>
      <c r="G272" s="102">
        <v>0.7979</v>
      </c>
      <c r="H272" s="102">
        <v>0.7932</v>
      </c>
      <c r="I272" s="102">
        <v>0.8223</v>
      </c>
      <c r="J272" s="102">
        <v>0.8114</v>
      </c>
      <c r="K272" s="102">
        <v>0.801</v>
      </c>
      <c r="L272" s="102">
        <v>0.8282</v>
      </c>
      <c r="M272" s="102">
        <v>0.819</v>
      </c>
      <c r="N272" s="102">
        <v>0.8212</v>
      </c>
    </row>
    <row r="273" ht="15" spans="1:14">
      <c r="A273" s="98"/>
      <c r="B273" s="99">
        <v>23</v>
      </c>
      <c r="C273" s="100">
        <v>0.7791</v>
      </c>
      <c r="D273" s="101">
        <v>0.7818</v>
      </c>
      <c r="E273" s="101">
        <v>0.7799</v>
      </c>
      <c r="F273" s="100">
        <v>0.808</v>
      </c>
      <c r="G273" s="102">
        <v>0.802</v>
      </c>
      <c r="H273" s="102">
        <v>0.7943</v>
      </c>
      <c r="I273" s="102">
        <v>0.8226</v>
      </c>
      <c r="J273" s="102">
        <v>0.8121</v>
      </c>
      <c r="K273" s="102">
        <v>0.8023</v>
      </c>
      <c r="L273" s="102">
        <v>0.8303</v>
      </c>
      <c r="M273" s="102">
        <v>0.8221</v>
      </c>
      <c r="N273" s="102">
        <v>0.8211</v>
      </c>
    </row>
    <row r="274" ht="15" spans="1:14">
      <c r="A274" s="98"/>
      <c r="B274" s="99">
        <v>24</v>
      </c>
      <c r="C274" s="100">
        <v>0.7853</v>
      </c>
      <c r="D274" s="101">
        <v>0.7858</v>
      </c>
      <c r="E274" s="101">
        <v>0.7809</v>
      </c>
      <c r="F274" s="100">
        <v>0.8097</v>
      </c>
      <c r="G274" s="102">
        <v>0.8015</v>
      </c>
      <c r="H274" s="102">
        <v>0.7934</v>
      </c>
      <c r="I274" s="102">
        <v>0.8234</v>
      </c>
      <c r="J274" s="102">
        <v>0.8142</v>
      </c>
      <c r="K274" s="102">
        <v>0.8033</v>
      </c>
      <c r="L274" s="102">
        <v>0.8295</v>
      </c>
      <c r="M274" s="102">
        <v>0.8198</v>
      </c>
      <c r="N274" s="102">
        <v>0.8182</v>
      </c>
    </row>
    <row r="275" ht="15" spans="1:14">
      <c r="A275" s="98"/>
      <c r="B275" s="99">
        <v>25</v>
      </c>
      <c r="C275" s="100">
        <v>0.7879</v>
      </c>
      <c r="D275" s="101">
        <v>0.7884</v>
      </c>
      <c r="E275" s="101">
        <v>0.7826</v>
      </c>
      <c r="F275" s="100">
        <v>0.8103</v>
      </c>
      <c r="G275" s="102">
        <v>0.8011</v>
      </c>
      <c r="H275" s="102">
        <v>0.7928</v>
      </c>
      <c r="I275" s="102">
        <v>0.8233</v>
      </c>
      <c r="J275" s="102">
        <v>0.8131</v>
      </c>
      <c r="K275" s="102">
        <v>0.8105</v>
      </c>
      <c r="L275" s="102">
        <v>0.8304</v>
      </c>
      <c r="M275" s="102">
        <v>0.8236</v>
      </c>
      <c r="N275" s="102">
        <v>0.8246</v>
      </c>
    </row>
    <row r="278" ht="15" spans="1:14">
      <c r="A278" s="98">
        <v>0.05</v>
      </c>
      <c r="B278" s="99">
        <v>6</v>
      </c>
      <c r="C278" s="100">
        <v>0.4179</v>
      </c>
      <c r="D278" s="101">
        <v>0.457</v>
      </c>
      <c r="E278" s="101">
        <v>0.4862</v>
      </c>
      <c r="F278" s="100">
        <v>0.4813</v>
      </c>
      <c r="G278" s="102">
        <v>0.5178</v>
      </c>
      <c r="H278" s="102">
        <v>0.5456</v>
      </c>
      <c r="I278" s="102">
        <v>0.5307</v>
      </c>
      <c r="J278" s="102">
        <v>0.5649</v>
      </c>
      <c r="K278" s="102">
        <v>0.5868</v>
      </c>
      <c r="L278" s="102">
        <v>0.5686</v>
      </c>
      <c r="M278" s="102">
        <v>0.6007</v>
      </c>
      <c r="N278" s="102">
        <v>0.6184</v>
      </c>
    </row>
    <row r="279" ht="15" spans="1:14">
      <c r="A279" s="98"/>
      <c r="B279" s="99">
        <v>7</v>
      </c>
      <c r="C279" s="100">
        <v>0.4498</v>
      </c>
      <c r="D279" s="101">
        <v>0.4891</v>
      </c>
      <c r="E279" s="101">
        <v>0.5164</v>
      </c>
      <c r="F279" s="100">
        <v>0.5141</v>
      </c>
      <c r="G279" s="102">
        <v>0.5477</v>
      </c>
      <c r="H279" s="102">
        <v>0.5724</v>
      </c>
      <c r="I279" s="102">
        <v>0.5623</v>
      </c>
      <c r="J279" s="102">
        <v>0.5923</v>
      </c>
      <c r="K279" s="102">
        <v>0.6106</v>
      </c>
      <c r="L279" s="102">
        <v>0.5985</v>
      </c>
      <c r="M279" s="102">
        <v>0.6262</v>
      </c>
      <c r="N279" s="102">
        <v>0.6415</v>
      </c>
    </row>
    <row r="280" ht="15" spans="1:14">
      <c r="A280" s="98"/>
      <c r="B280" s="99">
        <v>8</v>
      </c>
      <c r="C280" s="100">
        <v>0.4792</v>
      </c>
      <c r="D280" s="101">
        <v>0.5165</v>
      </c>
      <c r="E280" s="101">
        <v>0.5446</v>
      </c>
      <c r="F280" s="100">
        <v>0.5428</v>
      </c>
      <c r="G280" s="102">
        <v>0.5757</v>
      </c>
      <c r="H280" s="102">
        <v>0.5971</v>
      </c>
      <c r="I280" s="102">
        <v>0.5902</v>
      </c>
      <c r="J280" s="102">
        <v>0.6177</v>
      </c>
      <c r="K280" s="102">
        <v>0.6337</v>
      </c>
      <c r="L280" s="102">
        <v>0.6248</v>
      </c>
      <c r="M280" s="102">
        <v>0.6499</v>
      </c>
      <c r="N280" s="102">
        <v>0.6638</v>
      </c>
    </row>
    <row r="281" ht="15" spans="1:14">
      <c r="A281" s="98"/>
      <c r="B281" s="99">
        <v>9</v>
      </c>
      <c r="C281" s="100">
        <v>0.502</v>
      </c>
      <c r="D281" s="101">
        <v>0.5361</v>
      </c>
      <c r="E281" s="101">
        <v>0.5607</v>
      </c>
      <c r="F281" s="100">
        <v>0.5634</v>
      </c>
      <c r="G281" s="102">
        <v>0.5919</v>
      </c>
      <c r="H281" s="102">
        <v>0.6106</v>
      </c>
      <c r="I281" s="102">
        <v>0.6067</v>
      </c>
      <c r="J281" s="102">
        <v>0.6319</v>
      </c>
      <c r="K281" s="102">
        <v>0.6453</v>
      </c>
      <c r="L281" s="102">
        <v>0.6397</v>
      </c>
      <c r="M281" s="102">
        <v>0.661</v>
      </c>
      <c r="N281" s="102">
        <v>0.6724</v>
      </c>
    </row>
    <row r="282" ht="15" spans="1:14">
      <c r="A282" s="98"/>
      <c r="B282" s="99">
        <v>10</v>
      </c>
      <c r="C282" s="100">
        <v>0.5228</v>
      </c>
      <c r="D282" s="101">
        <v>0.5557</v>
      </c>
      <c r="E282" s="101">
        <v>0.5785</v>
      </c>
      <c r="F282" s="100">
        <v>0.582</v>
      </c>
      <c r="G282" s="102">
        <v>0.6091</v>
      </c>
      <c r="H282" s="102">
        <v>0.6257</v>
      </c>
      <c r="I282" s="102">
        <v>0.6244</v>
      </c>
      <c r="J282" s="102">
        <v>0.6473</v>
      </c>
      <c r="K282" s="102">
        <v>0.659</v>
      </c>
      <c r="L282" s="102">
        <v>0.6554</v>
      </c>
      <c r="M282" s="102">
        <v>0.6751</v>
      </c>
      <c r="N282" s="102">
        <v>0.6839</v>
      </c>
    </row>
    <row r="283" ht="15" spans="1:14">
      <c r="A283" s="98"/>
      <c r="B283" s="99">
        <v>11</v>
      </c>
      <c r="C283" s="100">
        <v>0.5616</v>
      </c>
      <c r="D283" s="101">
        <v>0.5927</v>
      </c>
      <c r="E283" s="101">
        <v>0.614</v>
      </c>
      <c r="F283" s="100">
        <v>0.62</v>
      </c>
      <c r="G283" s="102">
        <v>0.6448</v>
      </c>
      <c r="H283" s="102">
        <v>0.6613</v>
      </c>
      <c r="I283" s="102">
        <v>0.663</v>
      </c>
      <c r="J283" s="102">
        <v>0.6839</v>
      </c>
      <c r="K283" s="102">
        <v>0.6943</v>
      </c>
      <c r="L283" s="102">
        <v>0.6929</v>
      </c>
      <c r="M283" s="102">
        <v>0.7103</v>
      </c>
      <c r="N283" s="102">
        <v>0.7175</v>
      </c>
    </row>
    <row r="284" ht="15" spans="1:14">
      <c r="A284" s="98"/>
      <c r="B284" s="99">
        <v>12</v>
      </c>
      <c r="C284" s="100">
        <v>0.5765</v>
      </c>
      <c r="D284" s="101">
        <v>0.6073</v>
      </c>
      <c r="E284" s="101">
        <v>0.6263</v>
      </c>
      <c r="F284" s="100">
        <v>0.6338</v>
      </c>
      <c r="G284" s="102">
        <v>0.6585</v>
      </c>
      <c r="H284" s="102">
        <v>0.6725</v>
      </c>
      <c r="I284" s="102">
        <v>0.673</v>
      </c>
      <c r="J284" s="102">
        <v>0.6936</v>
      </c>
      <c r="K284" s="102">
        <v>0.7027</v>
      </c>
      <c r="L284" s="102">
        <v>0.7024</v>
      </c>
      <c r="M284" s="102">
        <v>0.7188</v>
      </c>
      <c r="N284" s="102">
        <v>0.7243</v>
      </c>
    </row>
    <row r="285" ht="15" spans="1:14">
      <c r="A285" s="98"/>
      <c r="B285" s="99">
        <v>13</v>
      </c>
      <c r="C285" s="100">
        <v>0.5874</v>
      </c>
      <c r="D285" s="101">
        <v>0.6149</v>
      </c>
      <c r="E285" s="101">
        <v>0.6325</v>
      </c>
      <c r="F285" s="100">
        <v>0.6422</v>
      </c>
      <c r="G285" s="102">
        <v>0.6635</v>
      </c>
      <c r="H285" s="102">
        <v>0.6748</v>
      </c>
      <c r="I285" s="102">
        <v>0.6804</v>
      </c>
      <c r="J285" s="102">
        <v>0.6962</v>
      </c>
      <c r="K285" s="102">
        <v>0.7012</v>
      </c>
      <c r="L285" s="102">
        <v>0.7073</v>
      </c>
      <c r="M285" s="102">
        <v>0.7185</v>
      </c>
      <c r="N285" s="102">
        <v>0.7237</v>
      </c>
    </row>
    <row r="286" ht="15" spans="1:14">
      <c r="A286" s="98"/>
      <c r="B286" s="99">
        <v>14</v>
      </c>
      <c r="C286" s="100">
        <v>0.5991</v>
      </c>
      <c r="D286" s="101">
        <v>0.6252</v>
      </c>
      <c r="E286" s="101">
        <v>0.6421</v>
      </c>
      <c r="F286" s="100">
        <v>0.6509</v>
      </c>
      <c r="G286" s="102">
        <v>0.6711</v>
      </c>
      <c r="H286" s="102">
        <v>0.6822</v>
      </c>
      <c r="I286" s="102">
        <v>0.6874</v>
      </c>
      <c r="J286" s="102">
        <v>0.7033</v>
      </c>
      <c r="K286" s="102">
        <v>0.7087</v>
      </c>
      <c r="L286" s="102">
        <v>0.7147</v>
      </c>
      <c r="M286" s="102">
        <v>0.7273</v>
      </c>
      <c r="N286" s="102">
        <v>0.7294</v>
      </c>
    </row>
    <row r="287" ht="15" spans="1:14">
      <c r="A287" s="98"/>
      <c r="B287" s="99">
        <v>15</v>
      </c>
      <c r="C287" s="100">
        <v>0.6112</v>
      </c>
      <c r="D287" s="101">
        <v>0.6345</v>
      </c>
      <c r="E287" s="101">
        <v>0.6516</v>
      </c>
      <c r="F287" s="100">
        <v>0.66061</v>
      </c>
      <c r="G287" s="102">
        <v>0.6793</v>
      </c>
      <c r="H287" s="102">
        <v>0.6885</v>
      </c>
      <c r="I287" s="102">
        <v>0.697</v>
      </c>
      <c r="J287" s="102">
        <v>0.71</v>
      </c>
      <c r="K287" s="102">
        <v>0.7137</v>
      </c>
      <c r="L287" s="102">
        <v>0.7217</v>
      </c>
      <c r="M287" s="102">
        <v>0.7319</v>
      </c>
      <c r="N287" s="102">
        <v>0.7341</v>
      </c>
    </row>
    <row r="288" ht="15" spans="1:14">
      <c r="A288" s="98"/>
      <c r="B288" s="99">
        <v>16</v>
      </c>
      <c r="C288" s="100">
        <v>0.6271</v>
      </c>
      <c r="D288" s="101">
        <v>0.6498</v>
      </c>
      <c r="E288" s="101">
        <v>0.6644</v>
      </c>
      <c r="F288" s="100">
        <v>0.6774</v>
      </c>
      <c r="G288" s="102">
        <v>0.6936</v>
      </c>
      <c r="H288" s="102">
        <v>0.6997</v>
      </c>
      <c r="I288" s="102">
        <v>0.7095</v>
      </c>
      <c r="J288" s="102">
        <v>0.7217</v>
      </c>
      <c r="K288" s="102">
        <v>0.7257</v>
      </c>
      <c r="L288" s="102">
        <v>0.734</v>
      </c>
      <c r="M288" s="102">
        <v>0.7437</v>
      </c>
      <c r="N288" s="102">
        <v>0.7462</v>
      </c>
    </row>
    <row r="289" ht="15" spans="1:14">
      <c r="A289" s="98"/>
      <c r="B289" s="99">
        <v>17</v>
      </c>
      <c r="C289" s="100">
        <v>0.636</v>
      </c>
      <c r="D289" s="101">
        <v>0.6587</v>
      </c>
      <c r="E289" s="101">
        <v>0.6713</v>
      </c>
      <c r="F289" s="100">
        <v>0.6844</v>
      </c>
      <c r="G289" s="102">
        <v>0.7002</v>
      </c>
      <c r="H289" s="102">
        <v>0.7082</v>
      </c>
      <c r="I289" s="102">
        <v>0.7176</v>
      </c>
      <c r="J289" s="102">
        <v>0.7282</v>
      </c>
      <c r="K289" s="102">
        <v>0.7295</v>
      </c>
      <c r="L289" s="102">
        <v>0.7384</v>
      </c>
      <c r="M289" s="102">
        <v>0.7461</v>
      </c>
      <c r="N289" s="102">
        <v>0.7492</v>
      </c>
    </row>
    <row r="290" ht="15" spans="1:14">
      <c r="A290" s="98"/>
      <c r="B290" s="99">
        <v>18</v>
      </c>
      <c r="C290" s="100">
        <v>0.6431</v>
      </c>
      <c r="D290" s="101">
        <v>0.6646</v>
      </c>
      <c r="E290" s="101">
        <v>0.6777</v>
      </c>
      <c r="F290" s="100">
        <v>0.6901</v>
      </c>
      <c r="G290" s="102">
        <v>0.703</v>
      </c>
      <c r="H290" s="102">
        <v>0.7109</v>
      </c>
      <c r="I290" s="102">
        <v>0.7219</v>
      </c>
      <c r="J290" s="102">
        <v>0.7312</v>
      </c>
      <c r="K290" s="102">
        <v>0.7322</v>
      </c>
      <c r="L290" s="102">
        <v>0.7448</v>
      </c>
      <c r="M290" s="102">
        <v>0.7504</v>
      </c>
      <c r="N290" s="102">
        <v>0.7546</v>
      </c>
    </row>
    <row r="291" ht="15" spans="1:14">
      <c r="A291" s="98"/>
      <c r="B291" s="99">
        <v>19</v>
      </c>
      <c r="C291" s="100">
        <v>0.6521</v>
      </c>
      <c r="D291" s="101">
        <v>0.6715</v>
      </c>
      <c r="E291" s="101">
        <v>0.6841</v>
      </c>
      <c r="F291" s="100">
        <v>0.6968</v>
      </c>
      <c r="G291" s="102">
        <v>0.7094</v>
      </c>
      <c r="H291" s="102">
        <v>0.7169</v>
      </c>
      <c r="I291" s="102">
        <v>0.7269</v>
      </c>
      <c r="J291" s="102">
        <v>0.7351</v>
      </c>
      <c r="K291" s="102">
        <v>0.7364</v>
      </c>
      <c r="L291" s="102">
        <v>0.7499</v>
      </c>
      <c r="M291" s="102">
        <v>0.7556</v>
      </c>
      <c r="N291" s="102">
        <v>0.7594</v>
      </c>
    </row>
    <row r="292" ht="15" spans="1:14">
      <c r="A292" s="98"/>
      <c r="B292" s="99">
        <v>20</v>
      </c>
      <c r="C292" s="100">
        <v>0.6598</v>
      </c>
      <c r="D292" s="101">
        <v>0.6779</v>
      </c>
      <c r="E292" s="101">
        <v>0.6895</v>
      </c>
      <c r="F292" s="100">
        <v>0.7037</v>
      </c>
      <c r="G292" s="102">
        <v>0.7162</v>
      </c>
      <c r="H292" s="102">
        <v>0.7221</v>
      </c>
      <c r="I292" s="102">
        <v>0.7332</v>
      </c>
      <c r="J292" s="102">
        <v>0.7395</v>
      </c>
      <c r="K292" s="102">
        <v>0.7408</v>
      </c>
      <c r="L292" s="102">
        <v>0.754</v>
      </c>
      <c r="M292" s="102">
        <v>0.7598</v>
      </c>
      <c r="N292" s="102">
        <v>0.7653</v>
      </c>
    </row>
    <row r="293" ht="15" spans="1:14">
      <c r="A293" s="98"/>
      <c r="B293" s="99">
        <v>21</v>
      </c>
      <c r="C293" s="100">
        <v>0.6883</v>
      </c>
      <c r="D293" s="101">
        <v>0.7069</v>
      </c>
      <c r="E293" s="101">
        <v>0.7144</v>
      </c>
      <c r="F293" s="100">
        <v>0.7338</v>
      </c>
      <c r="G293" s="102">
        <v>0.7439</v>
      </c>
      <c r="H293" s="102">
        <v>0.7462</v>
      </c>
      <c r="I293" s="102">
        <v>0.7613</v>
      </c>
      <c r="J293" s="102">
        <v>0.7662</v>
      </c>
      <c r="K293" s="102">
        <v>0.7677</v>
      </c>
      <c r="L293" s="102">
        <v>0.7805</v>
      </c>
      <c r="M293" s="102">
        <v>0.7844</v>
      </c>
      <c r="N293" s="102">
        <v>0.7871</v>
      </c>
    </row>
    <row r="294" ht="15" spans="1:14">
      <c r="A294" s="98"/>
      <c r="B294" s="99">
        <v>22</v>
      </c>
      <c r="C294" s="100">
        <v>0.6952</v>
      </c>
      <c r="D294" s="101">
        <v>0.7111</v>
      </c>
      <c r="E294" s="101">
        <v>0.7192</v>
      </c>
      <c r="F294" s="100">
        <v>0.7371</v>
      </c>
      <c r="G294" s="102">
        <v>0.7472</v>
      </c>
      <c r="H294" s="102">
        <v>0.7501</v>
      </c>
      <c r="I294" s="102">
        <v>0.7653</v>
      </c>
      <c r="J294" s="102">
        <v>0.7704</v>
      </c>
      <c r="K294" s="102">
        <v>0.7707</v>
      </c>
      <c r="L294" s="102">
        <v>0.7848</v>
      </c>
      <c r="M294" s="102">
        <v>0.7885</v>
      </c>
      <c r="N294" s="102">
        <v>0.792</v>
      </c>
    </row>
    <row r="295" ht="15" spans="1:14">
      <c r="A295" s="98"/>
      <c r="B295" s="99">
        <v>23</v>
      </c>
      <c r="C295" s="100">
        <v>0.7016</v>
      </c>
      <c r="D295" s="101">
        <v>0.7161</v>
      </c>
      <c r="E295" s="101">
        <v>0.7232</v>
      </c>
      <c r="F295" s="100">
        <v>0.7418</v>
      </c>
      <c r="G295" s="102">
        <v>0.7497</v>
      </c>
      <c r="H295" s="102">
        <v>0.7547</v>
      </c>
      <c r="I295" s="102">
        <v>0.7689</v>
      </c>
      <c r="J295" s="102">
        <v>0.7719</v>
      </c>
      <c r="K295" s="102">
        <v>0.7728</v>
      </c>
      <c r="L295" s="102">
        <v>0.7882</v>
      </c>
      <c r="M295" s="102">
        <v>0.7911</v>
      </c>
      <c r="N295" s="102">
        <v>0.7956</v>
      </c>
    </row>
    <row r="296" ht="15" spans="1:14">
      <c r="A296" s="98"/>
      <c r="B296" s="99">
        <v>24</v>
      </c>
      <c r="C296" s="100">
        <v>0.7085</v>
      </c>
      <c r="D296" s="101">
        <v>0.7227</v>
      </c>
      <c r="E296" s="101">
        <v>0.7272</v>
      </c>
      <c r="F296" s="100">
        <v>0.7485</v>
      </c>
      <c r="G296" s="102">
        <v>0.755</v>
      </c>
      <c r="H296" s="102">
        <v>0.7558</v>
      </c>
      <c r="I296" s="102">
        <v>0.774</v>
      </c>
      <c r="J296" s="102">
        <v>0.778</v>
      </c>
      <c r="K296" s="102">
        <v>0.7746</v>
      </c>
      <c r="L296" s="102">
        <v>0.7898</v>
      </c>
      <c r="M296" s="102">
        <v>0.7946</v>
      </c>
      <c r="N296" s="102">
        <v>0.797</v>
      </c>
    </row>
    <row r="297" ht="15" spans="1:14">
      <c r="A297" s="98"/>
      <c r="B297" s="99">
        <v>25</v>
      </c>
      <c r="C297" s="100">
        <v>0.7116</v>
      </c>
      <c r="D297" s="101">
        <v>0.7228</v>
      </c>
      <c r="E297" s="101">
        <v>0.7292</v>
      </c>
      <c r="F297" s="100">
        <v>0.7479</v>
      </c>
      <c r="G297" s="102">
        <v>0.755</v>
      </c>
      <c r="H297" s="102">
        <v>0.7587</v>
      </c>
      <c r="I297" s="102">
        <v>0.7726</v>
      </c>
      <c r="J297" s="102">
        <v>0.7778</v>
      </c>
      <c r="K297" s="102">
        <v>0.778</v>
      </c>
      <c r="L297" s="102">
        <v>0.7931</v>
      </c>
      <c r="M297" s="102">
        <v>0.7993</v>
      </c>
      <c r="N297" s="102">
        <v>0.8021</v>
      </c>
    </row>
  </sheetData>
  <mergeCells count="43">
    <mergeCell ref="A9:V9"/>
    <mergeCell ref="C11:E11"/>
    <mergeCell ref="F11:H11"/>
    <mergeCell ref="I11:K11"/>
    <mergeCell ref="L11:N11"/>
    <mergeCell ref="A14:A33"/>
    <mergeCell ref="A36:A55"/>
    <mergeCell ref="A58:A77"/>
    <mergeCell ref="A80:A99"/>
    <mergeCell ref="A102:A121"/>
    <mergeCell ref="A124:A143"/>
    <mergeCell ref="A146:A165"/>
    <mergeCell ref="A168:A187"/>
    <mergeCell ref="A190:A209"/>
    <mergeCell ref="A212:A231"/>
    <mergeCell ref="A234:A253"/>
    <mergeCell ref="A256:A275"/>
    <mergeCell ref="A278:A297"/>
    <mergeCell ref="B1:B2"/>
    <mergeCell ref="E3:E4"/>
    <mergeCell ref="E7:E8"/>
    <mergeCell ref="H1:H2"/>
    <mergeCell ref="H3:H4"/>
    <mergeCell ref="H5:H6"/>
    <mergeCell ref="H7:H8"/>
    <mergeCell ref="K1:K2"/>
    <mergeCell ref="K3:K4"/>
    <mergeCell ref="K5:K6"/>
    <mergeCell ref="K7:K8"/>
    <mergeCell ref="N1:N2"/>
    <mergeCell ref="N3:N4"/>
    <mergeCell ref="N5:N6"/>
    <mergeCell ref="N7:N8"/>
    <mergeCell ref="Q1:Q2"/>
    <mergeCell ref="Q3:Q4"/>
    <mergeCell ref="Q5:Q6"/>
    <mergeCell ref="Q7:Q8"/>
    <mergeCell ref="T1:T2"/>
    <mergeCell ref="T3:T4"/>
    <mergeCell ref="T5:T6"/>
    <mergeCell ref="T7:T8"/>
    <mergeCell ref="W3:W4"/>
    <mergeCell ref="W7:W8"/>
  </mergeCells>
  <pageMargins left="0.7" right="0.7" top="0.75" bottom="0.75" header="0.3" footer="0.3"/>
  <pageSetup paperSize="9" orientation="portrait"/>
  <headerFooter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81"/>
  <dimension ref="B2:W45"/>
  <sheetViews>
    <sheetView zoomScale="85" zoomScaleNormal="85" workbookViewId="0">
      <selection activeCell="Y32" sqref="Y32"/>
    </sheetView>
  </sheetViews>
  <sheetFormatPr defaultColWidth="9" defaultRowHeight="14.4"/>
  <cols>
    <col min="1" max="1" width="2.66666666666667" style="3" customWidth="1"/>
    <col min="2" max="3" width="6" style="3" customWidth="1"/>
    <col min="4" max="4" width="9" style="3"/>
    <col min="5" max="5" width="55.4444444444444" style="4" customWidth="1"/>
    <col min="6" max="6" width="26.2222222222222" style="5" customWidth="1"/>
    <col min="7" max="7" width="8.88888888888889" style="6" customWidth="1"/>
    <col min="8" max="8" width="14.2222222222222" style="6" customWidth="1"/>
    <col min="9" max="9" width="10.2222222222222" style="6" customWidth="1"/>
    <col min="10" max="10" width="14" style="6" customWidth="1"/>
    <col min="11" max="11" width="20.3333333333333" style="3" customWidth="1"/>
    <col min="12" max="12" width="9" style="6" customWidth="1"/>
    <col min="13" max="13" width="11.6666666666667" style="6" customWidth="1"/>
    <col min="14" max="14" width="32.7777777777778" style="5" customWidth="1"/>
    <col min="15" max="15" width="12.6666666666667" style="5" customWidth="1"/>
    <col min="16" max="16" width="9" style="7" customWidth="1"/>
    <col min="17" max="17" width="17.2222222222222" style="6" customWidth="1"/>
    <col min="18" max="19" width="10.7777777777778" style="6" customWidth="1"/>
    <col min="20" max="21" width="14" style="6" customWidth="1"/>
    <col min="22" max="22" width="21.6666666666667" style="6" customWidth="1"/>
    <col min="23" max="23" width="30.6666666666667" style="6" customWidth="1"/>
    <col min="24" max="16384" width="9" style="3"/>
  </cols>
  <sheetData>
    <row r="2" ht="34.8" spans="2:23">
      <c r="B2" s="8"/>
      <c r="C2" s="9"/>
      <c r="D2" s="9"/>
      <c r="E2" s="10" t="s">
        <v>3182</v>
      </c>
      <c r="F2" s="10" t="s">
        <v>3183</v>
      </c>
      <c r="G2" s="10" t="s">
        <v>1387</v>
      </c>
      <c r="H2" s="10" t="s">
        <v>3184</v>
      </c>
      <c r="I2" s="10" t="s">
        <v>3185</v>
      </c>
      <c r="J2" s="10" t="s">
        <v>40</v>
      </c>
      <c r="K2" s="10" t="s">
        <v>2298</v>
      </c>
      <c r="L2" s="10" t="s">
        <v>3186</v>
      </c>
      <c r="M2" s="31" t="s">
        <v>3187</v>
      </c>
      <c r="N2" s="32" t="s">
        <v>3188</v>
      </c>
      <c r="O2" s="32" t="s">
        <v>3189</v>
      </c>
      <c r="P2" s="31" t="s">
        <v>3190</v>
      </c>
      <c r="Q2" s="31" t="s">
        <v>3191</v>
      </c>
      <c r="R2" s="10" t="s">
        <v>3192</v>
      </c>
      <c r="S2" s="31" t="s">
        <v>3193</v>
      </c>
      <c r="T2" s="10" t="s">
        <v>3194</v>
      </c>
      <c r="U2" s="10" t="s">
        <v>3195</v>
      </c>
      <c r="V2" s="10" t="s">
        <v>3196</v>
      </c>
      <c r="W2" s="37" t="s">
        <v>113</v>
      </c>
    </row>
    <row r="3" ht="17.4" spans="2:23">
      <c r="B3" s="11" t="s">
        <v>3197</v>
      </c>
      <c r="C3" s="12" t="s">
        <v>1923</v>
      </c>
      <c r="D3" s="13">
        <v>1</v>
      </c>
      <c r="E3" s="14" t="s">
        <v>3198</v>
      </c>
      <c r="F3" s="14" t="s">
        <v>3199</v>
      </c>
      <c r="G3" s="14">
        <v>15.6</v>
      </c>
      <c r="H3" s="14" t="s">
        <v>1923</v>
      </c>
      <c r="I3" s="14" t="s">
        <v>1898</v>
      </c>
      <c r="J3" s="14" t="s">
        <v>3200</v>
      </c>
      <c r="K3" s="14" t="s">
        <v>3201</v>
      </c>
      <c r="L3" s="14" t="s">
        <v>3202</v>
      </c>
      <c r="M3" s="14" t="s">
        <v>3203</v>
      </c>
      <c r="N3" s="14" t="s">
        <v>3204</v>
      </c>
      <c r="O3" s="14" t="s">
        <v>3205</v>
      </c>
      <c r="P3" s="14">
        <v>2.55</v>
      </c>
      <c r="Q3" s="14" t="s">
        <v>3206</v>
      </c>
      <c r="R3" s="38">
        <v>0.054</v>
      </c>
      <c r="S3" s="38">
        <v>0.054</v>
      </c>
      <c r="T3" s="38">
        <v>0.0552</v>
      </c>
      <c r="U3" s="38">
        <v>0.0501</v>
      </c>
      <c r="V3" s="38">
        <v>0.0526</v>
      </c>
      <c r="W3" s="14" t="s">
        <v>3207</v>
      </c>
    </row>
    <row r="4" ht="17.4" spans="2:23">
      <c r="B4" s="11"/>
      <c r="C4" s="15"/>
      <c r="D4" s="13">
        <v>2</v>
      </c>
      <c r="E4" s="14" t="s">
        <v>3208</v>
      </c>
      <c r="F4" s="14" t="s">
        <v>3209</v>
      </c>
      <c r="G4" s="14">
        <v>17.3</v>
      </c>
      <c r="H4" s="14" t="s">
        <v>1923</v>
      </c>
      <c r="I4" s="14" t="s">
        <v>1898</v>
      </c>
      <c r="J4" s="14" t="s">
        <v>3200</v>
      </c>
      <c r="K4" s="14" t="s">
        <v>3201</v>
      </c>
      <c r="L4" s="14" t="s">
        <v>3202</v>
      </c>
      <c r="M4" s="14" t="s">
        <v>3203</v>
      </c>
      <c r="N4" s="14" t="s">
        <v>3204</v>
      </c>
      <c r="O4" s="14" t="s">
        <v>3205</v>
      </c>
      <c r="P4" s="14">
        <v>2.55</v>
      </c>
      <c r="Q4" s="14" t="s">
        <v>3206</v>
      </c>
      <c r="R4" s="38">
        <v>0.054</v>
      </c>
      <c r="S4" s="38">
        <v>0.054</v>
      </c>
      <c r="T4" s="38">
        <v>0.0586</v>
      </c>
      <c r="U4" s="38">
        <v>0.0542</v>
      </c>
      <c r="V4" s="38">
        <v>0.0566</v>
      </c>
      <c r="W4" s="14" t="s">
        <v>3210</v>
      </c>
    </row>
    <row r="5" ht="17.4" spans="2:23">
      <c r="B5" s="11"/>
      <c r="C5" s="13" t="s">
        <v>1899</v>
      </c>
      <c r="D5" s="13">
        <v>1</v>
      </c>
      <c r="E5" s="13" t="s">
        <v>3211</v>
      </c>
      <c r="F5" s="13" t="s">
        <v>3212</v>
      </c>
      <c r="G5" s="13">
        <v>13.3</v>
      </c>
      <c r="H5" s="13" t="s">
        <v>3213</v>
      </c>
      <c r="I5" s="13" t="s">
        <v>1898</v>
      </c>
      <c r="J5" s="13" t="s">
        <v>722</v>
      </c>
      <c r="K5" s="13" t="s">
        <v>3214</v>
      </c>
      <c r="L5" s="13" t="s">
        <v>3215</v>
      </c>
      <c r="M5" s="13" t="s">
        <v>3216</v>
      </c>
      <c r="N5" s="13" t="s">
        <v>3217</v>
      </c>
      <c r="O5" s="13" t="s">
        <v>3205</v>
      </c>
      <c r="P5" s="13">
        <v>3</v>
      </c>
      <c r="Q5" s="13" t="s">
        <v>3218</v>
      </c>
      <c r="R5" s="34">
        <v>0.04</v>
      </c>
      <c r="S5" s="39">
        <v>0.042</v>
      </c>
      <c r="T5" s="13">
        <v>4.8</v>
      </c>
      <c r="U5" s="13">
        <v>3.6</v>
      </c>
      <c r="V5" s="13">
        <v>4.22</v>
      </c>
      <c r="W5" s="13"/>
    </row>
    <row r="6" ht="17.4" spans="2:23">
      <c r="B6" s="11"/>
      <c r="C6" s="13"/>
      <c r="D6" s="13">
        <v>2</v>
      </c>
      <c r="E6" s="13" t="s">
        <v>3219</v>
      </c>
      <c r="F6" s="13" t="s">
        <v>3220</v>
      </c>
      <c r="G6" s="13">
        <v>14</v>
      </c>
      <c r="H6" s="13" t="s">
        <v>3213</v>
      </c>
      <c r="I6" s="13" t="s">
        <v>1898</v>
      </c>
      <c r="J6" s="13" t="s">
        <v>3200</v>
      </c>
      <c r="K6" s="13" t="s">
        <v>3221</v>
      </c>
      <c r="L6" s="13" t="s">
        <v>3222</v>
      </c>
      <c r="M6" s="13" t="s">
        <v>3203</v>
      </c>
      <c r="N6" s="13" t="s">
        <v>3223</v>
      </c>
      <c r="O6" s="13" t="s">
        <v>3205</v>
      </c>
      <c r="P6" s="13">
        <v>3</v>
      </c>
      <c r="Q6" s="13">
        <v>1486</v>
      </c>
      <c r="R6" s="39">
        <v>0.052</v>
      </c>
      <c r="S6" s="39">
        <v>0.0526</v>
      </c>
      <c r="T6" s="13">
        <v>5.87</v>
      </c>
      <c r="U6" s="13">
        <v>4.49</v>
      </c>
      <c r="V6" s="13">
        <v>5.26</v>
      </c>
      <c r="W6" s="13"/>
    </row>
    <row r="7" ht="17.4" spans="2:23">
      <c r="B7" s="11"/>
      <c r="C7" s="13"/>
      <c r="D7" s="13">
        <v>3</v>
      </c>
      <c r="E7" s="13" t="s">
        <v>3224</v>
      </c>
      <c r="F7" s="13" t="s">
        <v>3225</v>
      </c>
      <c r="G7" s="13">
        <v>14</v>
      </c>
      <c r="H7" s="13" t="s">
        <v>3213</v>
      </c>
      <c r="I7" s="13" t="s">
        <v>1898</v>
      </c>
      <c r="J7" s="13" t="s">
        <v>3226</v>
      </c>
      <c r="K7" s="13" t="s">
        <v>3227</v>
      </c>
      <c r="L7" s="13" t="s">
        <v>3228</v>
      </c>
      <c r="M7" s="13" t="s">
        <v>3203</v>
      </c>
      <c r="N7" s="13" t="s">
        <v>3217</v>
      </c>
      <c r="O7" s="13" t="s">
        <v>3205</v>
      </c>
      <c r="P7" s="13">
        <v>3</v>
      </c>
      <c r="Q7" s="13" t="s">
        <v>3229</v>
      </c>
      <c r="R7" s="39">
        <v>0.052</v>
      </c>
      <c r="S7" s="39">
        <v>0.053</v>
      </c>
      <c r="T7" s="13"/>
      <c r="U7" s="13"/>
      <c r="V7" s="13"/>
      <c r="W7" s="12" t="s">
        <v>3230</v>
      </c>
    </row>
    <row r="8" ht="17.25" customHeight="1" spans="2:23">
      <c r="B8" s="11"/>
      <c r="C8" s="13"/>
      <c r="D8" s="13">
        <v>4</v>
      </c>
      <c r="E8" s="13" t="s">
        <v>3231</v>
      </c>
      <c r="F8" s="13" t="s">
        <v>3232</v>
      </c>
      <c r="G8" s="13">
        <v>15.6</v>
      </c>
      <c r="H8" s="13" t="s">
        <v>3213</v>
      </c>
      <c r="I8" s="13" t="s">
        <v>1898</v>
      </c>
      <c r="J8" s="13" t="s">
        <v>3233</v>
      </c>
      <c r="K8" s="13" t="s">
        <v>3234</v>
      </c>
      <c r="L8" s="13" t="s">
        <v>3235</v>
      </c>
      <c r="M8" s="13" t="s">
        <v>3216</v>
      </c>
      <c r="N8" s="13" t="s">
        <v>3223</v>
      </c>
      <c r="O8" s="13" t="s">
        <v>3205</v>
      </c>
      <c r="P8" s="13">
        <v>3</v>
      </c>
      <c r="Q8" s="13" t="s">
        <v>3229</v>
      </c>
      <c r="R8" s="39">
        <v>0.056</v>
      </c>
      <c r="S8" s="39">
        <v>0.056</v>
      </c>
      <c r="T8" s="13"/>
      <c r="U8" s="13"/>
      <c r="V8" s="13"/>
      <c r="W8" s="15"/>
    </row>
    <row r="9" ht="17.25" customHeight="1" spans="2:23">
      <c r="B9" s="11"/>
      <c r="C9" s="13"/>
      <c r="D9" s="13">
        <v>5</v>
      </c>
      <c r="E9" s="13" t="s">
        <v>3236</v>
      </c>
      <c r="F9" s="13" t="s">
        <v>3237</v>
      </c>
      <c r="G9" s="13">
        <v>15.6</v>
      </c>
      <c r="H9" s="13" t="s">
        <v>3213</v>
      </c>
      <c r="I9" s="13" t="s">
        <v>1898</v>
      </c>
      <c r="J9" s="13" t="s">
        <v>3238</v>
      </c>
      <c r="K9" s="13" t="s">
        <v>3239</v>
      </c>
      <c r="L9" s="13" t="s">
        <v>3235</v>
      </c>
      <c r="M9" s="13" t="s">
        <v>3216</v>
      </c>
      <c r="N9" s="13" t="s">
        <v>3217</v>
      </c>
      <c r="O9" s="13" t="s">
        <v>3205</v>
      </c>
      <c r="P9" s="13">
        <v>3</v>
      </c>
      <c r="Q9" s="13" t="s">
        <v>3229</v>
      </c>
      <c r="R9" s="39">
        <v>0.069</v>
      </c>
      <c r="S9" s="39">
        <v>0.069</v>
      </c>
      <c r="T9" s="13"/>
      <c r="U9" s="13"/>
      <c r="V9" s="13"/>
      <c r="W9" s="18"/>
    </row>
    <row r="10" s="1" customFormat="1" ht="17.25" customHeight="1" spans="2:23">
      <c r="B10" s="16" t="s">
        <v>3240</v>
      </c>
      <c r="C10" s="12" t="s">
        <v>1898</v>
      </c>
      <c r="D10" s="12">
        <v>1</v>
      </c>
      <c r="E10" s="13" t="s">
        <v>3241</v>
      </c>
      <c r="F10" s="17" t="s">
        <v>3242</v>
      </c>
      <c r="G10" s="18">
        <v>133</v>
      </c>
      <c r="H10" s="18" t="s">
        <v>3243</v>
      </c>
      <c r="I10" s="18" t="s">
        <v>1898</v>
      </c>
      <c r="J10" s="33">
        <v>0.45</v>
      </c>
      <c r="K10" s="18" t="s">
        <v>7</v>
      </c>
      <c r="L10" s="18" t="s">
        <v>3244</v>
      </c>
      <c r="M10" s="18" t="s">
        <v>3203</v>
      </c>
      <c r="N10" s="26" t="s">
        <v>3245</v>
      </c>
      <c r="O10" s="26" t="s">
        <v>3205</v>
      </c>
      <c r="P10" s="18">
        <v>3.5</v>
      </c>
      <c r="Q10" s="18" t="s">
        <v>3246</v>
      </c>
      <c r="R10" s="40">
        <v>0.0575</v>
      </c>
      <c r="S10" s="41">
        <v>0.06</v>
      </c>
      <c r="T10" s="40">
        <v>0.0655379004949205</v>
      </c>
      <c r="U10" s="40">
        <v>0.0575799721835883</v>
      </c>
      <c r="V10" s="40">
        <v>0.0616834157469055</v>
      </c>
      <c r="W10" s="18" t="s">
        <v>3247</v>
      </c>
    </row>
    <row r="11" s="1" customFormat="1" ht="17.25" customHeight="1" spans="2:23">
      <c r="B11" s="19"/>
      <c r="C11" s="15"/>
      <c r="D11" s="18"/>
      <c r="E11" s="13"/>
      <c r="F11" s="17" t="s">
        <v>3248</v>
      </c>
      <c r="G11" s="18">
        <v>133</v>
      </c>
      <c r="H11" s="18" t="s">
        <v>3243</v>
      </c>
      <c r="I11" s="18" t="s">
        <v>1898</v>
      </c>
      <c r="J11" s="33">
        <v>0.45</v>
      </c>
      <c r="K11" s="18" t="s">
        <v>7</v>
      </c>
      <c r="L11" s="18" t="s">
        <v>3244</v>
      </c>
      <c r="M11" s="18" t="s">
        <v>3203</v>
      </c>
      <c r="N11" s="26" t="s">
        <v>3245</v>
      </c>
      <c r="O11" s="26" t="s">
        <v>3205</v>
      </c>
      <c r="P11" s="18">
        <v>3.5</v>
      </c>
      <c r="Q11" s="18" t="s">
        <v>3246</v>
      </c>
      <c r="R11" s="40">
        <v>0.0575</v>
      </c>
      <c r="S11" s="41">
        <v>0.06</v>
      </c>
      <c r="T11" s="40">
        <v>0.0655379004949205</v>
      </c>
      <c r="U11" s="40">
        <v>0.0575799721835883</v>
      </c>
      <c r="V11" s="40">
        <v>0.0616834157469055</v>
      </c>
      <c r="W11" s="42" t="s">
        <v>3249</v>
      </c>
    </row>
    <row r="12" s="1" customFormat="1" ht="17.25" customHeight="1" spans="2:23">
      <c r="B12" s="19"/>
      <c r="C12" s="15"/>
      <c r="D12" s="20"/>
      <c r="E12" s="20" t="s">
        <v>3250</v>
      </c>
      <c r="F12" s="21" t="s">
        <v>3251</v>
      </c>
      <c r="G12" s="18">
        <v>133</v>
      </c>
      <c r="H12" s="18" t="s">
        <v>3243</v>
      </c>
      <c r="I12" s="18" t="s">
        <v>1898</v>
      </c>
      <c r="J12" s="33">
        <v>0.45</v>
      </c>
      <c r="K12" s="18" t="s">
        <v>7</v>
      </c>
      <c r="L12" s="18" t="s">
        <v>3252</v>
      </c>
      <c r="M12" s="18" t="s">
        <v>3203</v>
      </c>
      <c r="N12" s="26" t="s">
        <v>3217</v>
      </c>
      <c r="O12" s="26" t="s">
        <v>3205</v>
      </c>
      <c r="P12" s="18">
        <v>3.5</v>
      </c>
      <c r="Q12" s="18" t="s">
        <v>3253</v>
      </c>
      <c r="R12" s="42">
        <v>0.06</v>
      </c>
      <c r="S12" s="43">
        <v>0.06</v>
      </c>
      <c r="T12" s="44">
        <v>0</v>
      </c>
      <c r="U12" s="44"/>
      <c r="V12" s="44"/>
      <c r="W12" s="42" t="s">
        <v>3254</v>
      </c>
    </row>
    <row r="13" ht="17.25" customHeight="1" spans="2:23">
      <c r="B13" s="19"/>
      <c r="C13" s="15"/>
      <c r="D13" s="20"/>
      <c r="E13" s="20" t="s">
        <v>3255</v>
      </c>
      <c r="F13" s="21" t="s">
        <v>3256</v>
      </c>
      <c r="G13" s="18">
        <v>133</v>
      </c>
      <c r="H13" s="18" t="s">
        <v>3243</v>
      </c>
      <c r="I13" s="18" t="s">
        <v>1898</v>
      </c>
      <c r="J13" s="33">
        <v>0.45</v>
      </c>
      <c r="K13" s="18" t="s">
        <v>7</v>
      </c>
      <c r="L13" s="18" t="s">
        <v>3244</v>
      </c>
      <c r="M13" s="18" t="s">
        <v>3203</v>
      </c>
      <c r="N13" s="26" t="s">
        <v>3245</v>
      </c>
      <c r="O13" s="26" t="s">
        <v>3205</v>
      </c>
      <c r="P13" s="18">
        <v>3.5</v>
      </c>
      <c r="Q13" s="18" t="s">
        <v>3246</v>
      </c>
      <c r="R13" s="42">
        <v>0.0574</v>
      </c>
      <c r="S13" s="43">
        <v>0.0583</v>
      </c>
      <c r="T13" s="44">
        <v>0.0673749529898458</v>
      </c>
      <c r="U13" s="44">
        <v>0.0531968810916179</v>
      </c>
      <c r="V13" s="44">
        <v>0.0595632733424685</v>
      </c>
      <c r="W13" s="42" t="s">
        <v>3254</v>
      </c>
    </row>
    <row r="14" ht="17.25" customHeight="1" spans="2:23">
      <c r="B14" s="19"/>
      <c r="C14" s="15"/>
      <c r="D14" s="20">
        <v>2</v>
      </c>
      <c r="E14" s="20"/>
      <c r="F14" s="21" t="s">
        <v>3257</v>
      </c>
      <c r="G14" s="18">
        <v>133</v>
      </c>
      <c r="H14" s="18" t="s">
        <v>3243</v>
      </c>
      <c r="I14" s="18" t="s">
        <v>1898</v>
      </c>
      <c r="J14" s="33">
        <v>0.45</v>
      </c>
      <c r="K14" s="18" t="s">
        <v>7</v>
      </c>
      <c r="L14" s="18" t="s">
        <v>3244</v>
      </c>
      <c r="M14" s="18" t="s">
        <v>3203</v>
      </c>
      <c r="N14" s="26" t="s">
        <v>3245</v>
      </c>
      <c r="O14" s="26" t="s">
        <v>3205</v>
      </c>
      <c r="P14" s="18">
        <v>3.5</v>
      </c>
      <c r="Q14" s="18" t="s">
        <v>3246</v>
      </c>
      <c r="R14" s="42">
        <v>0.0574</v>
      </c>
      <c r="S14" s="43">
        <v>0.0583</v>
      </c>
      <c r="T14" s="44">
        <v>0.0673749529898458</v>
      </c>
      <c r="U14" s="44">
        <v>0.0531968810916179</v>
      </c>
      <c r="V14" s="44">
        <v>0.0595632733424685</v>
      </c>
      <c r="W14" s="42" t="s">
        <v>3254</v>
      </c>
    </row>
    <row r="15" ht="17.25" customHeight="1" spans="2:23">
      <c r="B15" s="19"/>
      <c r="C15" s="15"/>
      <c r="D15" s="13">
        <v>3</v>
      </c>
      <c r="E15" s="13" t="s">
        <v>3258</v>
      </c>
      <c r="F15" s="17" t="s">
        <v>3259</v>
      </c>
      <c r="G15" s="13">
        <v>140</v>
      </c>
      <c r="H15" s="22" t="s">
        <v>3243</v>
      </c>
      <c r="I15" s="13" t="s">
        <v>1898</v>
      </c>
      <c r="J15" s="13">
        <v>45</v>
      </c>
      <c r="K15" s="13"/>
      <c r="L15" s="13">
        <v>4.6</v>
      </c>
      <c r="M15" s="13" t="s">
        <v>3203</v>
      </c>
      <c r="N15" s="17" t="s">
        <v>3260</v>
      </c>
      <c r="O15" s="17" t="s">
        <v>3261</v>
      </c>
      <c r="P15" s="13">
        <v>3.5</v>
      </c>
      <c r="Q15" s="13" t="s">
        <v>3246</v>
      </c>
      <c r="R15" s="45">
        <v>0.0608</v>
      </c>
      <c r="S15" s="46">
        <v>0.0608</v>
      </c>
      <c r="T15" s="40">
        <v>0.0662397540983607</v>
      </c>
      <c r="U15" s="40">
        <v>0.0564436845479803</v>
      </c>
      <c r="V15" s="40">
        <v>0.060949066941306</v>
      </c>
      <c r="W15" s="47" t="s">
        <v>3262</v>
      </c>
    </row>
    <row r="16" ht="17.25" customHeight="1" spans="2:23">
      <c r="B16" s="19"/>
      <c r="C16" s="15"/>
      <c r="D16" s="13">
        <v>4</v>
      </c>
      <c r="E16" s="13" t="s">
        <v>3263</v>
      </c>
      <c r="F16" s="17" t="s">
        <v>3264</v>
      </c>
      <c r="G16" s="13">
        <v>140</v>
      </c>
      <c r="H16" s="22" t="s">
        <v>3243</v>
      </c>
      <c r="I16" s="13" t="s">
        <v>1898</v>
      </c>
      <c r="J16" s="13">
        <v>72</v>
      </c>
      <c r="K16" s="13"/>
      <c r="L16" s="13">
        <v>4.6</v>
      </c>
      <c r="M16" s="13" t="s">
        <v>3203</v>
      </c>
      <c r="N16" s="17" t="s">
        <v>3265</v>
      </c>
      <c r="O16" s="17" t="s">
        <v>3205</v>
      </c>
      <c r="P16" s="13">
        <v>3.5</v>
      </c>
      <c r="Q16" s="13" t="s">
        <v>3246</v>
      </c>
      <c r="R16" s="45">
        <v>0.0592</v>
      </c>
      <c r="S16" s="46">
        <v>0.0592</v>
      </c>
      <c r="T16" s="40">
        <v>0.06913985554826</v>
      </c>
      <c r="U16" s="40">
        <v>0.0526702786377709</v>
      </c>
      <c r="V16" s="40">
        <v>0.0612981627611758</v>
      </c>
      <c r="W16" s="48"/>
    </row>
    <row r="17" ht="17.25" customHeight="1" spans="2:23">
      <c r="B17" s="19"/>
      <c r="C17" s="15"/>
      <c r="D17" s="13">
        <v>5</v>
      </c>
      <c r="E17" s="13" t="s">
        <v>3266</v>
      </c>
      <c r="F17" s="17" t="s">
        <v>3267</v>
      </c>
      <c r="G17" s="13">
        <v>140</v>
      </c>
      <c r="H17" s="22" t="s">
        <v>3243</v>
      </c>
      <c r="I17" s="13" t="s">
        <v>1898</v>
      </c>
      <c r="J17" s="13">
        <v>72</v>
      </c>
      <c r="K17" s="13"/>
      <c r="L17" s="13">
        <v>4.6</v>
      </c>
      <c r="M17" s="13" t="s">
        <v>3203</v>
      </c>
      <c r="N17" s="17" t="s">
        <v>3268</v>
      </c>
      <c r="O17" s="17" t="s">
        <v>3269</v>
      </c>
      <c r="P17" s="13">
        <v>3.5</v>
      </c>
      <c r="Q17" s="13" t="s">
        <v>3246</v>
      </c>
      <c r="R17" s="45">
        <v>0.0592</v>
      </c>
      <c r="S17" s="46">
        <v>0.0592</v>
      </c>
      <c r="T17" s="40">
        <v>0.06913985554826</v>
      </c>
      <c r="U17" s="40">
        <v>0.0558654634946678</v>
      </c>
      <c r="V17" s="40">
        <v>0.060898178171421</v>
      </c>
      <c r="W17" s="45" t="s">
        <v>3270</v>
      </c>
    </row>
    <row r="18" ht="17.25" customHeight="1" spans="2:23">
      <c r="B18" s="19"/>
      <c r="C18" s="15"/>
      <c r="D18" s="23">
        <v>6</v>
      </c>
      <c r="E18" s="13" t="s">
        <v>3271</v>
      </c>
      <c r="F18" s="17" t="s">
        <v>3272</v>
      </c>
      <c r="G18" s="13">
        <v>140</v>
      </c>
      <c r="H18" s="13" t="s">
        <v>3273</v>
      </c>
      <c r="I18" s="13" t="s">
        <v>1898</v>
      </c>
      <c r="J18" s="34">
        <v>0.45</v>
      </c>
      <c r="K18" s="13"/>
      <c r="L18" s="13">
        <v>4.6</v>
      </c>
      <c r="M18" s="13" t="s">
        <v>3203</v>
      </c>
      <c r="N18" s="17" t="s">
        <v>3274</v>
      </c>
      <c r="O18" s="17" t="s">
        <v>3275</v>
      </c>
      <c r="P18" s="13">
        <v>3.3</v>
      </c>
      <c r="Q18" s="13" t="s">
        <v>3246</v>
      </c>
      <c r="R18" s="49" t="s">
        <v>7</v>
      </c>
      <c r="S18" s="46">
        <v>0.0562</v>
      </c>
      <c r="T18" s="40">
        <v>0.0599911288534043</v>
      </c>
      <c r="U18" s="40">
        <v>0.0558540847531673</v>
      </c>
      <c r="V18" s="40">
        <v>0.0579584017091087</v>
      </c>
      <c r="W18" s="50" t="s">
        <v>3276</v>
      </c>
    </row>
    <row r="19" ht="17.25" customHeight="1" spans="2:23">
      <c r="B19" s="19"/>
      <c r="C19" s="15"/>
      <c r="D19" s="23"/>
      <c r="E19" s="13" t="s">
        <v>3277</v>
      </c>
      <c r="F19" s="17" t="s">
        <v>3278</v>
      </c>
      <c r="G19" s="13">
        <v>156</v>
      </c>
      <c r="H19" s="13" t="s">
        <v>3243</v>
      </c>
      <c r="I19" s="13" t="s">
        <v>1898</v>
      </c>
      <c r="J19" s="13">
        <v>45</v>
      </c>
      <c r="K19" s="13"/>
      <c r="L19" s="13">
        <v>4.6</v>
      </c>
      <c r="M19" s="13" t="s">
        <v>3203</v>
      </c>
      <c r="N19" s="17" t="s">
        <v>3279</v>
      </c>
      <c r="O19" s="17" t="s">
        <v>3275</v>
      </c>
      <c r="P19" s="13">
        <v>3.5</v>
      </c>
      <c r="Q19" s="13" t="s">
        <v>3246</v>
      </c>
      <c r="R19" s="45">
        <v>0.0608</v>
      </c>
      <c r="S19" s="46">
        <v>0.062</v>
      </c>
      <c r="T19" s="40">
        <v>0.0701750397817686</v>
      </c>
      <c r="U19" s="40">
        <v>0.0579287305122494</v>
      </c>
      <c r="V19" s="40">
        <v>0.0637653720093122</v>
      </c>
      <c r="W19" s="45"/>
    </row>
    <row r="20" ht="17.25" customHeight="1" spans="2:23">
      <c r="B20" s="19"/>
      <c r="C20" s="15"/>
      <c r="D20" s="13">
        <v>7</v>
      </c>
      <c r="E20" s="13"/>
      <c r="F20" s="17" t="s">
        <v>3280</v>
      </c>
      <c r="G20" s="13">
        <v>156</v>
      </c>
      <c r="H20" s="13" t="s">
        <v>3243</v>
      </c>
      <c r="I20" s="13" t="s">
        <v>1898</v>
      </c>
      <c r="J20" s="13">
        <v>72</v>
      </c>
      <c r="K20" s="13"/>
      <c r="L20" s="13">
        <v>4.6</v>
      </c>
      <c r="M20" s="13" t="s">
        <v>3203</v>
      </c>
      <c r="N20" s="17" t="s">
        <v>3279</v>
      </c>
      <c r="O20" s="17" t="s">
        <v>3275</v>
      </c>
      <c r="P20" s="13">
        <v>3</v>
      </c>
      <c r="Q20" s="13" t="s">
        <v>3281</v>
      </c>
      <c r="R20" s="45"/>
      <c r="S20" s="46">
        <v>0.062</v>
      </c>
      <c r="T20" s="40"/>
      <c r="U20" s="40"/>
      <c r="V20" s="40"/>
      <c r="W20" s="45"/>
    </row>
    <row r="21" ht="17.25" customHeight="1" spans="2:23">
      <c r="B21" s="19"/>
      <c r="C21" s="15"/>
      <c r="D21" s="13"/>
      <c r="E21" s="13" t="s">
        <v>3282</v>
      </c>
      <c r="F21" s="17" t="s">
        <v>3283</v>
      </c>
      <c r="G21" s="13">
        <v>156</v>
      </c>
      <c r="H21" s="13" t="s">
        <v>3243</v>
      </c>
      <c r="I21" s="13" t="s">
        <v>1898</v>
      </c>
      <c r="J21" s="13">
        <v>72</v>
      </c>
      <c r="K21" s="13"/>
      <c r="L21" s="13">
        <v>4.6</v>
      </c>
      <c r="M21" s="13" t="s">
        <v>3203</v>
      </c>
      <c r="N21" s="17" t="s">
        <v>3279</v>
      </c>
      <c r="O21" s="17" t="s">
        <v>3205</v>
      </c>
      <c r="P21" s="13">
        <v>3.5</v>
      </c>
      <c r="Q21" s="13" t="s">
        <v>3246</v>
      </c>
      <c r="R21" s="45">
        <v>0.061</v>
      </c>
      <c r="S21" s="51">
        <v>0.061</v>
      </c>
      <c r="T21" s="40">
        <v>0.0684864534528417</v>
      </c>
      <c r="U21" s="40">
        <v>0.056022906793049</v>
      </c>
      <c r="V21" s="40">
        <v>0.0621560100244947</v>
      </c>
      <c r="W21" s="45"/>
    </row>
    <row r="22" ht="17.25" customHeight="1" spans="2:23">
      <c r="B22" s="19"/>
      <c r="C22" s="15"/>
      <c r="D22" s="13">
        <v>8</v>
      </c>
      <c r="E22" s="13"/>
      <c r="F22" s="17" t="s">
        <v>3284</v>
      </c>
      <c r="G22" s="13">
        <v>156</v>
      </c>
      <c r="H22" s="13" t="s">
        <v>3243</v>
      </c>
      <c r="I22" s="13" t="s">
        <v>1898</v>
      </c>
      <c r="J22" s="13">
        <v>72</v>
      </c>
      <c r="K22" s="13"/>
      <c r="L22" s="13">
        <v>4.6</v>
      </c>
      <c r="M22" s="13" t="s">
        <v>3203</v>
      </c>
      <c r="N22" s="17" t="s">
        <v>3279</v>
      </c>
      <c r="O22" s="17" t="s">
        <v>3205</v>
      </c>
      <c r="P22" s="13">
        <v>3</v>
      </c>
      <c r="Q22" s="13" t="s">
        <v>3281</v>
      </c>
      <c r="R22" s="45"/>
      <c r="S22" s="51">
        <v>0.061</v>
      </c>
      <c r="T22" s="40"/>
      <c r="U22" s="40"/>
      <c r="V22" s="40"/>
      <c r="W22" s="45"/>
    </row>
    <row r="23" ht="17.25" customHeight="1" spans="2:23">
      <c r="B23" s="19"/>
      <c r="C23" s="15"/>
      <c r="D23" s="13">
        <v>9</v>
      </c>
      <c r="E23" s="13" t="s">
        <v>3285</v>
      </c>
      <c r="F23" s="17" t="s">
        <v>3286</v>
      </c>
      <c r="G23" s="13">
        <v>156</v>
      </c>
      <c r="H23" s="13" t="s">
        <v>3243</v>
      </c>
      <c r="I23" s="13" t="s">
        <v>1898</v>
      </c>
      <c r="J23" s="13">
        <v>72</v>
      </c>
      <c r="K23" s="13"/>
      <c r="L23" s="13">
        <v>4.6</v>
      </c>
      <c r="M23" s="13" t="s">
        <v>3203</v>
      </c>
      <c r="N23" s="17" t="s">
        <v>3279</v>
      </c>
      <c r="O23" s="17" t="s">
        <v>3205</v>
      </c>
      <c r="P23" s="13">
        <v>3.5</v>
      </c>
      <c r="Q23" s="13" t="s">
        <v>3246</v>
      </c>
      <c r="R23" s="45">
        <v>0.061</v>
      </c>
      <c r="S23" s="46">
        <v>0.0575</v>
      </c>
      <c r="T23" s="40">
        <v>0.0636146788990826</v>
      </c>
      <c r="U23" s="40">
        <v>0.0527717391304348</v>
      </c>
      <c r="V23" s="40">
        <v>0.0586996938993483</v>
      </c>
      <c r="W23" s="45"/>
    </row>
    <row r="24" ht="17.25" customHeight="1" spans="2:23">
      <c r="B24" s="19"/>
      <c r="C24" s="15"/>
      <c r="D24" s="13"/>
      <c r="E24" s="13" t="s">
        <v>3287</v>
      </c>
      <c r="F24" s="13" t="s">
        <v>3288</v>
      </c>
      <c r="G24" s="13">
        <v>156</v>
      </c>
      <c r="H24" s="13" t="s">
        <v>3243</v>
      </c>
      <c r="I24" s="13" t="s">
        <v>1898</v>
      </c>
      <c r="J24" s="13">
        <v>45</v>
      </c>
      <c r="K24" s="13"/>
      <c r="L24" s="13">
        <v>4.6</v>
      </c>
      <c r="M24" s="13" t="s">
        <v>3203</v>
      </c>
      <c r="N24" s="17" t="s">
        <v>3279</v>
      </c>
      <c r="O24" s="17" t="s">
        <v>3275</v>
      </c>
      <c r="P24" s="13">
        <v>3.5</v>
      </c>
      <c r="Q24" s="13" t="s">
        <v>3246</v>
      </c>
      <c r="R24" s="45"/>
      <c r="S24" s="46">
        <v>0.062</v>
      </c>
      <c r="T24" s="40"/>
      <c r="U24" s="40"/>
      <c r="V24" s="40"/>
      <c r="W24" s="45"/>
    </row>
    <row r="25" ht="17.25" customHeight="1" spans="2:23">
      <c r="B25" s="19"/>
      <c r="C25" s="15"/>
      <c r="D25" s="13">
        <v>10</v>
      </c>
      <c r="E25" s="13"/>
      <c r="F25" s="13" t="s">
        <v>3289</v>
      </c>
      <c r="G25" s="13">
        <v>156</v>
      </c>
      <c r="H25" s="13" t="s">
        <v>3243</v>
      </c>
      <c r="I25" s="13" t="s">
        <v>1898</v>
      </c>
      <c r="J25" s="13">
        <v>45</v>
      </c>
      <c r="K25" s="13"/>
      <c r="L25" s="13">
        <v>4.6</v>
      </c>
      <c r="M25" s="13" t="s">
        <v>3203</v>
      </c>
      <c r="N25" s="17" t="s">
        <v>3279</v>
      </c>
      <c r="O25" s="17" t="s">
        <v>3275</v>
      </c>
      <c r="P25" s="13">
        <v>3</v>
      </c>
      <c r="Q25" s="13" t="s">
        <v>3281</v>
      </c>
      <c r="R25" s="45" t="s">
        <v>7</v>
      </c>
      <c r="S25" s="46">
        <v>0.062</v>
      </c>
      <c r="T25" s="40">
        <v>0.0653758020164986</v>
      </c>
      <c r="U25" s="40">
        <v>0.0616873804971319</v>
      </c>
      <c r="V25" s="40">
        <v>0.0639235874179229</v>
      </c>
      <c r="W25" s="45"/>
    </row>
    <row r="26" ht="17.25" customHeight="1" spans="2:23">
      <c r="B26" s="19"/>
      <c r="C26" s="15"/>
      <c r="D26" s="13"/>
      <c r="E26" s="13" t="s">
        <v>3290</v>
      </c>
      <c r="F26" s="21" t="s">
        <v>3291</v>
      </c>
      <c r="G26" s="12">
        <v>173</v>
      </c>
      <c r="H26" s="15" t="s">
        <v>3243</v>
      </c>
      <c r="I26" s="15" t="s">
        <v>1898</v>
      </c>
      <c r="J26" s="35">
        <v>0.72</v>
      </c>
      <c r="K26" s="15" t="s">
        <v>7</v>
      </c>
      <c r="L26" s="15" t="s">
        <v>3244</v>
      </c>
      <c r="M26" s="15" t="s">
        <v>3203</v>
      </c>
      <c r="N26" s="36" t="s">
        <v>3245</v>
      </c>
      <c r="O26" s="36" t="s">
        <v>3205</v>
      </c>
      <c r="P26" s="15">
        <v>3.5</v>
      </c>
      <c r="Q26" s="15" t="s">
        <v>3246</v>
      </c>
      <c r="R26" s="52">
        <v>0.0475</v>
      </c>
      <c r="S26" s="53">
        <v>0.0485</v>
      </c>
      <c r="T26" s="54">
        <v>0.052924893891862</v>
      </c>
      <c r="U26" s="54">
        <v>0.0436816720257235</v>
      </c>
      <c r="V26" s="54">
        <v>0.0483424732739748</v>
      </c>
      <c r="W26" s="15" t="s">
        <v>3247</v>
      </c>
    </row>
    <row r="27" s="2" customFormat="1" ht="17.25" customHeight="1" spans="2:23">
      <c r="B27" s="19"/>
      <c r="C27" s="15"/>
      <c r="D27" s="13"/>
      <c r="E27" s="13" t="s">
        <v>3292</v>
      </c>
      <c r="F27" s="21" t="s">
        <v>3293</v>
      </c>
      <c r="G27" s="12">
        <v>173</v>
      </c>
      <c r="H27" s="15" t="s">
        <v>3243</v>
      </c>
      <c r="I27" s="15" t="s">
        <v>1898</v>
      </c>
      <c r="J27" s="35">
        <v>0.72</v>
      </c>
      <c r="K27" s="15" t="s">
        <v>7</v>
      </c>
      <c r="L27" s="15" t="s">
        <v>3244</v>
      </c>
      <c r="M27" s="15" t="s">
        <v>3203</v>
      </c>
      <c r="N27" s="36" t="s">
        <v>3245</v>
      </c>
      <c r="O27" s="36" t="s">
        <v>3205</v>
      </c>
      <c r="P27" s="15">
        <v>3</v>
      </c>
      <c r="Q27" s="13" t="s">
        <v>3281</v>
      </c>
      <c r="R27" s="52">
        <v>0.0485</v>
      </c>
      <c r="S27" s="53">
        <v>0.0485</v>
      </c>
      <c r="T27" s="54">
        <v>0.052924893891862</v>
      </c>
      <c r="U27" s="54">
        <v>0.0436816720257235</v>
      </c>
      <c r="V27" s="54">
        <v>0.0483424732739748</v>
      </c>
      <c r="W27" s="15" t="s">
        <v>3247</v>
      </c>
    </row>
    <row r="28" s="2" customFormat="1" ht="17.25" customHeight="1" spans="2:23">
      <c r="B28" s="19"/>
      <c r="C28" s="18"/>
      <c r="D28" s="13">
        <v>11</v>
      </c>
      <c r="E28" s="13" t="s">
        <v>3294</v>
      </c>
      <c r="F28" s="21" t="s">
        <v>3295</v>
      </c>
      <c r="G28" s="13">
        <v>173</v>
      </c>
      <c r="H28" s="13" t="s">
        <v>3243</v>
      </c>
      <c r="I28" s="13" t="s">
        <v>1898</v>
      </c>
      <c r="J28" s="34">
        <v>0.45</v>
      </c>
      <c r="K28" s="13" t="s">
        <v>7</v>
      </c>
      <c r="L28" s="13" t="s">
        <v>3244</v>
      </c>
      <c r="M28" s="13" t="s">
        <v>3203</v>
      </c>
      <c r="N28" s="17" t="s">
        <v>3204</v>
      </c>
      <c r="O28" s="17" t="s">
        <v>3275</v>
      </c>
      <c r="P28" s="13">
        <v>3</v>
      </c>
      <c r="Q28" s="13" t="s">
        <v>3281</v>
      </c>
      <c r="R28" s="45">
        <v>0.0582</v>
      </c>
      <c r="S28" s="45">
        <v>0.06</v>
      </c>
      <c r="T28" s="39">
        <v>0.0646</v>
      </c>
      <c r="U28" s="39">
        <v>0.0594</v>
      </c>
      <c r="V28" s="39">
        <v>0.0619</v>
      </c>
      <c r="W28" s="15" t="s">
        <v>3247</v>
      </c>
    </row>
    <row r="29" s="2" customFormat="1" ht="17.25" customHeight="1" spans="2:23">
      <c r="B29" s="19"/>
      <c r="C29" s="24" t="s">
        <v>3296</v>
      </c>
      <c r="D29" s="25">
        <v>1</v>
      </c>
      <c r="E29" s="18" t="s">
        <v>3297</v>
      </c>
      <c r="F29" s="26" t="s">
        <v>3298</v>
      </c>
      <c r="G29" s="18">
        <v>116</v>
      </c>
      <c r="H29" s="22" t="s">
        <v>3299</v>
      </c>
      <c r="I29" s="18" t="s">
        <v>3296</v>
      </c>
      <c r="J29" s="18">
        <v>45</v>
      </c>
      <c r="K29" s="18"/>
      <c r="L29" s="18">
        <v>3.8</v>
      </c>
      <c r="M29" s="18" t="s">
        <v>3203</v>
      </c>
      <c r="N29" s="26" t="s">
        <v>3300</v>
      </c>
      <c r="O29" s="26" t="s">
        <v>3275</v>
      </c>
      <c r="P29" s="18">
        <v>3.7</v>
      </c>
      <c r="Q29" s="18" t="s">
        <v>3301</v>
      </c>
      <c r="R29" s="55">
        <v>0.056</v>
      </c>
      <c r="S29" s="56">
        <v>0.06</v>
      </c>
      <c r="T29" s="40">
        <v>0.0639099859353024</v>
      </c>
      <c r="U29" s="40">
        <v>0.0553867403314917</v>
      </c>
      <c r="V29" s="40">
        <v>0.0616799678037804</v>
      </c>
      <c r="W29" s="55"/>
    </row>
    <row r="30" s="2" customFormat="1" ht="17.25" customHeight="1" spans="2:23">
      <c r="B30" s="19"/>
      <c r="C30" s="24"/>
      <c r="D30" s="25"/>
      <c r="E30" s="12" t="s">
        <v>3302</v>
      </c>
      <c r="F30" s="17" t="s">
        <v>3303</v>
      </c>
      <c r="G30" s="13">
        <v>133</v>
      </c>
      <c r="H30" s="27" t="s">
        <v>3299</v>
      </c>
      <c r="I30" s="13" t="s">
        <v>3296</v>
      </c>
      <c r="J30" s="13">
        <v>45</v>
      </c>
      <c r="K30" s="13"/>
      <c r="L30" s="13">
        <v>3.8</v>
      </c>
      <c r="M30" s="13" t="s">
        <v>3203</v>
      </c>
      <c r="N30" s="17" t="s">
        <v>3279</v>
      </c>
      <c r="O30" s="17" t="s">
        <v>3275</v>
      </c>
      <c r="P30" s="13">
        <v>3.7</v>
      </c>
      <c r="Q30" s="13" t="s">
        <v>3304</v>
      </c>
      <c r="R30" s="45">
        <v>0.066</v>
      </c>
      <c r="S30" s="46">
        <v>0.07</v>
      </c>
      <c r="T30" s="40"/>
      <c r="U30" s="40"/>
      <c r="V30" s="40"/>
      <c r="W30" s="45"/>
    </row>
    <row r="31" s="2" customFormat="1" ht="17.25" customHeight="1" spans="2:23">
      <c r="B31" s="19"/>
      <c r="C31" s="28"/>
      <c r="D31" s="25">
        <v>2</v>
      </c>
      <c r="E31" s="12" t="s">
        <v>3305</v>
      </c>
      <c r="F31" s="17" t="s">
        <v>3306</v>
      </c>
      <c r="G31" s="13">
        <v>133</v>
      </c>
      <c r="H31" s="27" t="s">
        <v>3299</v>
      </c>
      <c r="I31" s="13" t="s">
        <v>3296</v>
      </c>
      <c r="J31" s="13">
        <v>45</v>
      </c>
      <c r="K31" s="13"/>
      <c r="L31" s="13">
        <v>3.8</v>
      </c>
      <c r="M31" s="13" t="s">
        <v>3203</v>
      </c>
      <c r="N31" s="17" t="s">
        <v>3274</v>
      </c>
      <c r="O31" s="17" t="s">
        <v>3205</v>
      </c>
      <c r="P31" s="13">
        <v>3.7</v>
      </c>
      <c r="Q31" s="13" t="s">
        <v>3304</v>
      </c>
      <c r="R31" s="45">
        <v>0.066</v>
      </c>
      <c r="S31" s="46">
        <v>0.07</v>
      </c>
      <c r="T31" s="40">
        <v>0</v>
      </c>
      <c r="U31" s="40">
        <v>0</v>
      </c>
      <c r="V31" s="40"/>
      <c r="W31" s="50"/>
    </row>
    <row r="32" s="2" customFormat="1" ht="17.25" customHeight="1" spans="2:23">
      <c r="B32" s="19"/>
      <c r="C32" s="28"/>
      <c r="D32" s="25">
        <v>3</v>
      </c>
      <c r="E32" s="13" t="s">
        <v>3307</v>
      </c>
      <c r="F32" s="17" t="s">
        <v>3308</v>
      </c>
      <c r="G32" s="13">
        <v>140</v>
      </c>
      <c r="H32" s="27" t="s">
        <v>3299</v>
      </c>
      <c r="I32" s="13" t="s">
        <v>3296</v>
      </c>
      <c r="J32" s="34">
        <v>0.45</v>
      </c>
      <c r="K32" s="17"/>
      <c r="L32" s="13" t="s">
        <v>3309</v>
      </c>
      <c r="M32" s="13" t="s">
        <v>3203</v>
      </c>
      <c r="N32" s="17" t="s">
        <v>3310</v>
      </c>
      <c r="O32" s="17" t="s">
        <v>3311</v>
      </c>
      <c r="P32" s="17">
        <v>3.7</v>
      </c>
      <c r="Q32" s="13" t="s">
        <v>3312</v>
      </c>
      <c r="R32" s="45">
        <v>0.0738</v>
      </c>
      <c r="S32" s="46">
        <v>0.07</v>
      </c>
      <c r="T32" s="40">
        <v>0.0755278310940499</v>
      </c>
      <c r="U32" s="40">
        <v>0.0652219503670045</v>
      </c>
      <c r="V32" s="40">
        <v>0.0703470343100873</v>
      </c>
      <c r="W32" s="50" t="s">
        <v>3313</v>
      </c>
    </row>
    <row r="33" s="2" customFormat="1" ht="17.25" customHeight="1" spans="2:23">
      <c r="B33" s="19"/>
      <c r="C33" s="28"/>
      <c r="D33" s="25">
        <v>4</v>
      </c>
      <c r="E33" s="13" t="s">
        <v>3314</v>
      </c>
      <c r="F33" s="17" t="s">
        <v>3315</v>
      </c>
      <c r="G33" s="13">
        <v>140</v>
      </c>
      <c r="H33" s="27" t="s">
        <v>3299</v>
      </c>
      <c r="I33" s="13" t="s">
        <v>3296</v>
      </c>
      <c r="J33" s="34">
        <v>0.45</v>
      </c>
      <c r="K33" s="17"/>
      <c r="L33" s="13" t="s">
        <v>3309</v>
      </c>
      <c r="M33" s="13" t="s">
        <v>3203</v>
      </c>
      <c r="N33" s="17" t="s">
        <v>3310</v>
      </c>
      <c r="O33" s="17" t="s">
        <v>3275</v>
      </c>
      <c r="P33" s="17">
        <v>3.7</v>
      </c>
      <c r="Q33" s="13" t="s">
        <v>3304</v>
      </c>
      <c r="R33" s="45">
        <v>0.0686</v>
      </c>
      <c r="S33" s="46">
        <v>0.0686</v>
      </c>
      <c r="T33" s="40">
        <v>0.0772128060263653</v>
      </c>
      <c r="U33" s="40">
        <v>0.0647579529737206</v>
      </c>
      <c r="V33" s="40">
        <v>0.0711318307822813</v>
      </c>
      <c r="W33" s="45"/>
    </row>
    <row r="34" s="2" customFormat="1" ht="17.25" customHeight="1" spans="2:23">
      <c r="B34" s="19"/>
      <c r="C34" s="28"/>
      <c r="D34" s="25">
        <v>5</v>
      </c>
      <c r="E34" s="13" t="s">
        <v>3316</v>
      </c>
      <c r="F34" s="17" t="s">
        <v>3317</v>
      </c>
      <c r="G34" s="13">
        <v>140</v>
      </c>
      <c r="H34" s="27" t="s">
        <v>3273</v>
      </c>
      <c r="I34" s="13" t="s">
        <v>3296</v>
      </c>
      <c r="J34" s="34">
        <v>0.45</v>
      </c>
      <c r="K34" s="17"/>
      <c r="L34" s="13" t="s">
        <v>3309</v>
      </c>
      <c r="M34" s="13" t="s">
        <v>3203</v>
      </c>
      <c r="N34" s="17" t="s">
        <v>3310</v>
      </c>
      <c r="O34" s="17" t="s">
        <v>3275</v>
      </c>
      <c r="P34" s="17">
        <v>3.7</v>
      </c>
      <c r="Q34" s="13" t="s">
        <v>3312</v>
      </c>
      <c r="R34" s="45">
        <v>0.0563</v>
      </c>
      <c r="S34" s="46">
        <v>0.0563</v>
      </c>
      <c r="T34" s="40">
        <v>0.063137364168292</v>
      </c>
      <c r="U34" s="40">
        <v>0.0510907288051562</v>
      </c>
      <c r="V34" s="40">
        <v>0.0562904766558446</v>
      </c>
      <c r="W34" s="45"/>
    </row>
    <row r="35" s="2" customFormat="1" ht="17.25" customHeight="1" spans="2:23">
      <c r="B35" s="19"/>
      <c r="C35" s="28"/>
      <c r="D35" s="25">
        <v>6</v>
      </c>
      <c r="E35" s="13" t="s">
        <v>3318</v>
      </c>
      <c r="F35" s="17" t="s">
        <v>3319</v>
      </c>
      <c r="G35" s="13">
        <v>140</v>
      </c>
      <c r="H35" s="27" t="s">
        <v>3273</v>
      </c>
      <c r="I35" s="13" t="s">
        <v>3296</v>
      </c>
      <c r="J35" s="34">
        <v>0.6</v>
      </c>
      <c r="K35" s="13"/>
      <c r="L35" s="13" t="s">
        <v>3309</v>
      </c>
      <c r="M35" s="13" t="s">
        <v>3203</v>
      </c>
      <c r="N35" s="17" t="s">
        <v>3310</v>
      </c>
      <c r="O35" s="17" t="s">
        <v>3205</v>
      </c>
      <c r="P35" s="17">
        <v>3.7</v>
      </c>
      <c r="Q35" s="13" t="s">
        <v>3312</v>
      </c>
      <c r="R35" s="45">
        <v>0.065</v>
      </c>
      <c r="S35" s="46">
        <v>0.065</v>
      </c>
      <c r="T35" s="40">
        <v>0.0689216076402706</v>
      </c>
      <c r="U35" s="40">
        <v>0.0634318181818182</v>
      </c>
      <c r="V35" s="40">
        <v>0.0658702475881841</v>
      </c>
      <c r="W35" s="45"/>
    </row>
    <row r="36" s="2" customFormat="1" ht="17.25" customHeight="1" spans="2:23">
      <c r="B36" s="19"/>
      <c r="C36" s="28"/>
      <c r="D36" s="25">
        <v>7</v>
      </c>
      <c r="E36" s="13" t="s">
        <v>3320</v>
      </c>
      <c r="F36" s="17" t="s">
        <v>3321</v>
      </c>
      <c r="G36" s="13">
        <v>140</v>
      </c>
      <c r="H36" s="27" t="s">
        <v>3273</v>
      </c>
      <c r="I36" s="13" t="s">
        <v>3296</v>
      </c>
      <c r="J36" s="34">
        <v>0.45</v>
      </c>
      <c r="K36" s="17"/>
      <c r="L36" s="13" t="s">
        <v>3309</v>
      </c>
      <c r="M36" s="13" t="s">
        <v>3203</v>
      </c>
      <c r="N36" s="17" t="s">
        <v>3274</v>
      </c>
      <c r="O36" s="17" t="s">
        <v>3275</v>
      </c>
      <c r="P36" s="17">
        <v>3.7</v>
      </c>
      <c r="Q36" s="13" t="s">
        <v>3304</v>
      </c>
      <c r="R36" s="45">
        <v>0.0558</v>
      </c>
      <c r="S36" s="46">
        <v>0.0558</v>
      </c>
      <c r="T36" s="40">
        <v>0.0589965397923875</v>
      </c>
      <c r="U36" s="40">
        <v>0.0555870798777826</v>
      </c>
      <c r="V36" s="40">
        <v>0.057208643067581</v>
      </c>
      <c r="W36" s="45"/>
    </row>
    <row r="37" s="2" customFormat="1" ht="17.25" customHeight="1" spans="2:23">
      <c r="B37" s="19"/>
      <c r="C37" s="28"/>
      <c r="D37" s="25">
        <v>8</v>
      </c>
      <c r="E37" s="13" t="s">
        <v>3322</v>
      </c>
      <c r="F37" s="17" t="s">
        <v>3323</v>
      </c>
      <c r="G37" s="13">
        <v>156</v>
      </c>
      <c r="H37" s="27" t="s">
        <v>3299</v>
      </c>
      <c r="I37" s="13" t="s">
        <v>3296</v>
      </c>
      <c r="J37" s="34">
        <v>0.45</v>
      </c>
      <c r="K37" s="13"/>
      <c r="L37" s="13" t="s">
        <v>3309</v>
      </c>
      <c r="M37" s="27" t="s">
        <v>3203</v>
      </c>
      <c r="N37" s="17" t="s">
        <v>3324</v>
      </c>
      <c r="O37" s="17" t="s">
        <v>3275</v>
      </c>
      <c r="P37" s="13">
        <v>3.7</v>
      </c>
      <c r="Q37" s="13" t="s">
        <v>3312</v>
      </c>
      <c r="R37" s="45">
        <v>0.0725</v>
      </c>
      <c r="S37" s="46">
        <v>0.078</v>
      </c>
      <c r="T37" s="40">
        <v>0.0823760256867642</v>
      </c>
      <c r="U37" s="40">
        <v>0.0715407629020195</v>
      </c>
      <c r="V37" s="40">
        <v>0.0775393986208096</v>
      </c>
      <c r="W37" s="45"/>
    </row>
    <row r="38" s="2" customFormat="1" ht="17.25" customHeight="1" spans="2:23">
      <c r="B38" s="19"/>
      <c r="C38" s="28"/>
      <c r="D38" s="25">
        <v>9</v>
      </c>
      <c r="E38" s="13" t="s">
        <v>3325</v>
      </c>
      <c r="F38" s="17" t="s">
        <v>3326</v>
      </c>
      <c r="G38" s="13">
        <v>156</v>
      </c>
      <c r="H38" s="27" t="s">
        <v>3299</v>
      </c>
      <c r="I38" s="13" t="s">
        <v>3296</v>
      </c>
      <c r="J38" s="34">
        <v>0.45</v>
      </c>
      <c r="K38" s="13"/>
      <c r="L38" s="13" t="s">
        <v>3309</v>
      </c>
      <c r="M38" s="27" t="s">
        <v>3203</v>
      </c>
      <c r="N38" s="17" t="s">
        <v>3327</v>
      </c>
      <c r="O38" s="17" t="s">
        <v>3275</v>
      </c>
      <c r="P38" s="13">
        <v>3.7</v>
      </c>
      <c r="Q38" s="13" t="s">
        <v>3304</v>
      </c>
      <c r="R38" s="45">
        <v>0.0795</v>
      </c>
      <c r="S38" s="46">
        <v>0.0808</v>
      </c>
      <c r="T38" s="40">
        <v>0.0869244935543278</v>
      </c>
      <c r="U38" s="40">
        <v>0.0795133437990581</v>
      </c>
      <c r="V38" s="40">
        <v>0.0829377779569593</v>
      </c>
      <c r="W38" s="45"/>
    </row>
    <row r="39" s="2" customFormat="1" ht="17.25" customHeight="1" spans="2:23">
      <c r="B39" s="19"/>
      <c r="C39" s="28"/>
      <c r="D39" s="25">
        <v>10</v>
      </c>
      <c r="E39" s="13" t="s">
        <v>3328</v>
      </c>
      <c r="F39" s="17" t="s">
        <v>3329</v>
      </c>
      <c r="G39" s="13">
        <v>156</v>
      </c>
      <c r="H39" s="13" t="s">
        <v>3299</v>
      </c>
      <c r="I39" s="13" t="s">
        <v>3296</v>
      </c>
      <c r="J39" s="34">
        <v>0.45</v>
      </c>
      <c r="K39" s="13"/>
      <c r="L39" s="13" t="s">
        <v>3309</v>
      </c>
      <c r="M39" s="27" t="s">
        <v>3203</v>
      </c>
      <c r="N39" s="17" t="s">
        <v>3324</v>
      </c>
      <c r="O39" s="17" t="s">
        <v>3275</v>
      </c>
      <c r="P39" s="13">
        <v>3.7</v>
      </c>
      <c r="Q39" s="13" t="s">
        <v>3312</v>
      </c>
      <c r="R39" s="45" t="s">
        <v>7</v>
      </c>
      <c r="S39" s="46">
        <v>0.0734</v>
      </c>
      <c r="T39" s="40">
        <v>0.0817901234567901</v>
      </c>
      <c r="U39" s="40">
        <v>0.0730461965960403</v>
      </c>
      <c r="V39" s="40">
        <v>0.077562904888601</v>
      </c>
      <c r="W39" s="45"/>
    </row>
    <row r="40" s="2" customFormat="1" ht="17.25" customHeight="1" spans="2:23">
      <c r="B40" s="19"/>
      <c r="C40" s="28"/>
      <c r="D40" s="25">
        <v>11</v>
      </c>
      <c r="E40" s="13" t="s">
        <v>3330</v>
      </c>
      <c r="F40" s="17" t="s">
        <v>3331</v>
      </c>
      <c r="G40" s="13">
        <v>156</v>
      </c>
      <c r="H40" s="27" t="s">
        <v>3273</v>
      </c>
      <c r="I40" s="13" t="s">
        <v>3296</v>
      </c>
      <c r="J40" s="34">
        <v>0.45</v>
      </c>
      <c r="K40" s="13"/>
      <c r="L40" s="13" t="s">
        <v>3309</v>
      </c>
      <c r="M40" s="27" t="s">
        <v>3203</v>
      </c>
      <c r="N40" s="17" t="s">
        <v>3324</v>
      </c>
      <c r="O40" s="17" t="s">
        <v>3275</v>
      </c>
      <c r="P40" s="13">
        <v>3.7</v>
      </c>
      <c r="Q40" s="13" t="s">
        <v>3312</v>
      </c>
      <c r="R40" s="45">
        <v>0.063</v>
      </c>
      <c r="S40" s="46">
        <v>0.0589</v>
      </c>
      <c r="T40" s="40">
        <v>0.0705816554809843</v>
      </c>
      <c r="U40" s="40">
        <v>0.0526630293582749</v>
      </c>
      <c r="V40" s="40">
        <v>0.0598755105617379</v>
      </c>
      <c r="W40" s="45"/>
    </row>
    <row r="41" ht="18.15" spans="2:23">
      <c r="B41" s="19"/>
      <c r="C41" s="28"/>
      <c r="D41" s="25">
        <v>12</v>
      </c>
      <c r="E41" s="13" t="s">
        <v>3332</v>
      </c>
      <c r="F41" s="17" t="s">
        <v>3333</v>
      </c>
      <c r="G41" s="13">
        <v>156</v>
      </c>
      <c r="H41" s="27" t="s">
        <v>3273</v>
      </c>
      <c r="I41" s="13" t="s">
        <v>3296</v>
      </c>
      <c r="J41" s="34">
        <v>0.45</v>
      </c>
      <c r="K41" s="13"/>
      <c r="L41" s="13" t="s">
        <v>3309</v>
      </c>
      <c r="M41" s="27" t="s">
        <v>3203</v>
      </c>
      <c r="N41" s="17" t="s">
        <v>3334</v>
      </c>
      <c r="O41" s="17" t="s">
        <v>3275</v>
      </c>
      <c r="P41" s="13">
        <v>3.7</v>
      </c>
      <c r="Q41" s="13" t="s">
        <v>3304</v>
      </c>
      <c r="R41" s="45">
        <v>0.0603</v>
      </c>
      <c r="S41" s="46">
        <v>0.0603</v>
      </c>
      <c r="T41" s="40">
        <v>0.062987182840701</v>
      </c>
      <c r="U41" s="40">
        <v>0.0609518935516888</v>
      </c>
      <c r="V41" s="40">
        <v>0.0619858764010523</v>
      </c>
      <c r="W41" s="45"/>
    </row>
    <row r="42" ht="17.4" spans="2:23">
      <c r="B42" s="29"/>
      <c r="C42" s="30"/>
      <c r="D42" s="13">
        <v>13</v>
      </c>
      <c r="E42" s="13" t="s">
        <v>3335</v>
      </c>
      <c r="F42" s="17" t="s">
        <v>3336</v>
      </c>
      <c r="G42" s="13">
        <v>156</v>
      </c>
      <c r="H42" s="27" t="s">
        <v>3273</v>
      </c>
      <c r="I42" s="13" t="s">
        <v>3296</v>
      </c>
      <c r="J42" s="34">
        <v>0.45</v>
      </c>
      <c r="K42" s="13"/>
      <c r="L42" s="13" t="s">
        <v>3309</v>
      </c>
      <c r="M42" s="27" t="s">
        <v>3203</v>
      </c>
      <c r="N42" s="17" t="s">
        <v>3217</v>
      </c>
      <c r="O42" s="17" t="s">
        <v>3275</v>
      </c>
      <c r="P42" s="13">
        <v>3.7</v>
      </c>
      <c r="Q42" s="13" t="s">
        <v>3312</v>
      </c>
      <c r="R42" s="45" t="s">
        <v>7</v>
      </c>
      <c r="S42" s="46">
        <v>0.0575</v>
      </c>
      <c r="T42" s="40">
        <v>0.061899897854954</v>
      </c>
      <c r="U42" s="40">
        <v>0.0588585607940447</v>
      </c>
      <c r="V42" s="40">
        <v>0.0605414432519486</v>
      </c>
      <c r="W42" s="45"/>
    </row>
    <row r="44" spans="19:19">
      <c r="S44" s="57"/>
    </row>
    <row r="45" spans="19:22">
      <c r="S45" s="58"/>
      <c r="T45" s="58"/>
      <c r="U45" s="58"/>
      <c r="V45" s="58"/>
    </row>
  </sheetData>
  <mergeCells count="15">
    <mergeCell ref="C2:D2"/>
    <mergeCell ref="B3:B9"/>
    <mergeCell ref="B10:B42"/>
    <mergeCell ref="C3:C4"/>
    <mergeCell ref="C5:C9"/>
    <mergeCell ref="C10:C28"/>
    <mergeCell ref="C29:C42"/>
    <mergeCell ref="D10:D11"/>
    <mergeCell ref="E10:E11"/>
    <mergeCell ref="E13:E14"/>
    <mergeCell ref="E19:E20"/>
    <mergeCell ref="E21:E22"/>
    <mergeCell ref="E24:E25"/>
    <mergeCell ref="W7:W9"/>
    <mergeCell ref="W15:W16"/>
  </mergeCells>
  <pageMargins left="0.7" right="0.7" top="0.75" bottom="0.75" header="0.3" footer="0.3"/>
  <pageSetup paperSize="9" orientation="portrait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2"/>
  <dimension ref="B1:M163"/>
  <sheetViews>
    <sheetView showGridLines="0" workbookViewId="0">
      <pane ySplit="4" topLeftCell="A142" activePane="bottomLeft" state="frozen"/>
      <selection/>
      <selection pane="bottomLeft" activeCell="G155" sqref="G155"/>
    </sheetView>
  </sheetViews>
  <sheetFormatPr defaultColWidth="9" defaultRowHeight="13.2"/>
  <cols>
    <col min="1" max="1" width="4.77777777777778" style="2431" customWidth="1"/>
    <col min="2" max="2" width="9.22222222222222" style="2431" customWidth="1"/>
    <col min="3" max="3" width="18.2222222222222" style="2431" customWidth="1"/>
    <col min="4" max="4" width="18" style="2431" customWidth="1"/>
    <col min="5" max="5" width="14.4444444444444" style="2431" customWidth="1"/>
    <col min="6" max="6" width="15.6666666666667" style="2432" customWidth="1"/>
    <col min="7" max="7" width="30.1111111111111" style="2431" customWidth="1"/>
    <col min="8" max="8" width="9.44444444444444" style="2431" customWidth="1"/>
    <col min="9" max="9" width="12.1111111111111" style="2431" customWidth="1"/>
    <col min="10" max="10" width="9" style="2431" customWidth="1"/>
    <col min="11" max="11" width="15.2222222222222" style="2431" customWidth="1"/>
    <col min="12" max="12" width="9" style="2431"/>
    <col min="13" max="13" width="9" style="2431" hidden="1" customWidth="1"/>
    <col min="14" max="16384" width="9" style="2431"/>
  </cols>
  <sheetData>
    <row r="1" s="2430" customFormat="1" spans="2:6">
      <c r="B1" s="2433" t="s">
        <v>423</v>
      </c>
      <c r="F1" s="2434"/>
    </row>
    <row r="2" s="2430" customFormat="1" spans="2:11">
      <c r="B2" s="2435" t="s">
        <v>424</v>
      </c>
      <c r="C2" s="2435" t="s">
        <v>425</v>
      </c>
      <c r="D2" s="2435" t="s">
        <v>426</v>
      </c>
      <c r="E2" s="2435" t="s">
        <v>427</v>
      </c>
      <c r="F2" s="2436" t="s">
        <v>428</v>
      </c>
      <c r="G2" s="2435" t="s">
        <v>429</v>
      </c>
      <c r="H2" s="2437" t="s">
        <v>430</v>
      </c>
      <c r="I2" s="2437" t="s">
        <v>431</v>
      </c>
      <c r="J2" s="2437" t="s">
        <v>432</v>
      </c>
      <c r="K2" s="2437" t="s">
        <v>433</v>
      </c>
    </row>
    <row r="3" s="2430" customFormat="1" spans="2:11">
      <c r="B3" s="2438"/>
      <c r="C3" s="2438"/>
      <c r="D3" s="2438"/>
      <c r="E3" s="2438"/>
      <c r="F3" s="2439"/>
      <c r="G3" s="2438"/>
      <c r="H3" s="2440"/>
      <c r="I3" s="2482" t="s">
        <v>434</v>
      </c>
      <c r="J3" s="2483" t="s">
        <v>435</v>
      </c>
      <c r="K3" s="2440" t="s">
        <v>436</v>
      </c>
    </row>
    <row r="4" s="2430" customFormat="1" spans="2:12">
      <c r="B4" s="2441" t="s">
        <v>437</v>
      </c>
      <c r="C4" s="2442" t="s">
        <v>1</v>
      </c>
      <c r="D4" s="2441" t="s">
        <v>438</v>
      </c>
      <c r="E4" s="2443" t="s">
        <v>439</v>
      </c>
      <c r="F4" s="2444" t="s">
        <v>440</v>
      </c>
      <c r="G4" s="2444" t="s">
        <v>441</v>
      </c>
      <c r="H4" s="2445" t="s">
        <v>442</v>
      </c>
      <c r="I4" s="2443" t="s">
        <v>443</v>
      </c>
      <c r="J4" s="2445" t="s">
        <v>444</v>
      </c>
      <c r="K4" s="2445" t="s">
        <v>445</v>
      </c>
      <c r="L4" s="2484" t="s">
        <v>446</v>
      </c>
    </row>
    <row r="5" s="2430" customFormat="1" spans="2:12">
      <c r="B5" s="2446" t="s">
        <v>340</v>
      </c>
      <c r="C5" s="2446" t="s">
        <v>447</v>
      </c>
      <c r="D5" s="2447" t="s">
        <v>7</v>
      </c>
      <c r="E5" s="2448"/>
      <c r="F5" s="2447"/>
      <c r="G5" s="2449" t="s">
        <v>448</v>
      </c>
      <c r="H5" s="2450">
        <v>1</v>
      </c>
      <c r="I5" s="2485"/>
      <c r="J5" s="1883"/>
      <c r="K5" s="2486"/>
      <c r="L5" s="2487" t="s">
        <v>449</v>
      </c>
    </row>
    <row r="6" s="2430" customFormat="1" spans="2:12">
      <c r="B6" s="2446" t="s">
        <v>340</v>
      </c>
      <c r="C6" s="2446" t="s">
        <v>450</v>
      </c>
      <c r="D6" s="2447"/>
      <c r="E6" s="2448"/>
      <c r="F6" s="2447"/>
      <c r="G6" s="2449" t="s">
        <v>451</v>
      </c>
      <c r="H6" s="2450"/>
      <c r="I6" s="2485"/>
      <c r="J6" s="1883"/>
      <c r="K6" s="2486"/>
      <c r="L6" s="2487" t="s">
        <v>449</v>
      </c>
    </row>
    <row r="7" s="2430" customFormat="1" spans="2:12">
      <c r="B7" s="2446" t="s">
        <v>340</v>
      </c>
      <c r="C7" s="2446" t="s">
        <v>452</v>
      </c>
      <c r="D7" s="2447"/>
      <c r="E7" s="2448"/>
      <c r="F7" s="2447"/>
      <c r="G7" s="2449" t="s">
        <v>453</v>
      </c>
      <c r="H7" s="2450"/>
      <c r="I7" s="2485"/>
      <c r="J7" s="1883"/>
      <c r="K7" s="2486"/>
      <c r="L7" s="2487" t="s">
        <v>449</v>
      </c>
    </row>
    <row r="8" s="2430" customFormat="1" spans="2:12">
      <c r="B8" s="2446" t="s">
        <v>340</v>
      </c>
      <c r="C8" s="2446" t="s">
        <v>454</v>
      </c>
      <c r="D8" s="2447"/>
      <c r="E8" s="2448"/>
      <c r="F8" s="2447"/>
      <c r="G8" s="2449" t="s">
        <v>455</v>
      </c>
      <c r="H8" s="2450"/>
      <c r="I8" s="2485"/>
      <c r="J8" s="1883"/>
      <c r="K8" s="2486"/>
      <c r="L8" s="2487" t="s">
        <v>449</v>
      </c>
    </row>
    <row r="9" s="2430" customFormat="1" spans="2:12">
      <c r="B9" s="2446" t="s">
        <v>340</v>
      </c>
      <c r="C9" s="2446" t="s">
        <v>456</v>
      </c>
      <c r="D9" s="2447" t="s">
        <v>7</v>
      </c>
      <c r="E9" s="2448"/>
      <c r="F9" s="2447"/>
      <c r="G9" s="2449" t="s">
        <v>457</v>
      </c>
      <c r="H9" s="2450"/>
      <c r="I9" s="2485"/>
      <c r="J9" s="1883"/>
      <c r="K9" s="2486"/>
      <c r="L9" s="2487" t="s">
        <v>449</v>
      </c>
    </row>
    <row r="10" s="2430" customFormat="1" spans="2:12">
      <c r="B10" s="2446" t="s">
        <v>340</v>
      </c>
      <c r="C10" s="2446" t="s">
        <v>340</v>
      </c>
      <c r="D10" s="2447" t="s">
        <v>458</v>
      </c>
      <c r="E10" s="2449"/>
      <c r="F10" s="2447" t="s">
        <v>459</v>
      </c>
      <c r="G10" s="2449"/>
      <c r="H10" s="2451" t="s">
        <v>460</v>
      </c>
      <c r="I10" s="2485"/>
      <c r="J10" s="1883"/>
      <c r="K10" s="2486"/>
      <c r="L10" s="2487" t="s">
        <v>449</v>
      </c>
    </row>
    <row r="11" s="2430" customFormat="1" spans="2:12">
      <c r="B11" s="2452" t="s">
        <v>7</v>
      </c>
      <c r="C11" s="2452" t="s">
        <v>7</v>
      </c>
      <c r="D11" s="2453" t="s">
        <v>461</v>
      </c>
      <c r="E11" s="2454"/>
      <c r="F11" s="2453" t="s">
        <v>459</v>
      </c>
      <c r="G11" s="2455" t="s">
        <v>462</v>
      </c>
      <c r="H11" s="2456" t="s">
        <v>460</v>
      </c>
      <c r="I11" s="2460"/>
      <c r="J11" s="2488"/>
      <c r="K11" s="2489"/>
      <c r="L11" s="2487" t="s">
        <v>449</v>
      </c>
    </row>
    <row r="12" s="2430" customFormat="1" spans="2:12">
      <c r="B12" s="2457" t="s">
        <v>449</v>
      </c>
      <c r="C12" s="2457" t="s">
        <v>463</v>
      </c>
      <c r="D12" s="2458" t="s">
        <v>463</v>
      </c>
      <c r="E12" s="2459"/>
      <c r="F12" s="2458"/>
      <c r="G12" s="2460" t="s">
        <v>464</v>
      </c>
      <c r="H12" s="2461"/>
      <c r="I12" s="2460"/>
      <c r="J12" s="2490">
        <v>10000</v>
      </c>
      <c r="K12" s="2491">
        <f t="shared" ref="K12:K41" si="0">H12/J12</f>
        <v>0</v>
      </c>
      <c r="L12" s="2487" t="s">
        <v>449</v>
      </c>
    </row>
    <row r="13" s="2430" customFormat="1" spans="2:12">
      <c r="B13" s="2457" t="s">
        <v>449</v>
      </c>
      <c r="C13" s="2457" t="s">
        <v>465</v>
      </c>
      <c r="D13" s="2458" t="s">
        <v>465</v>
      </c>
      <c r="E13" s="2459"/>
      <c r="F13" s="2458"/>
      <c r="G13" s="2460"/>
      <c r="H13" s="2461"/>
      <c r="I13" s="2460"/>
      <c r="J13" s="2490">
        <v>10000</v>
      </c>
      <c r="K13" s="2491">
        <f t="shared" si="0"/>
        <v>0</v>
      </c>
      <c r="L13" s="2487" t="s">
        <v>449</v>
      </c>
    </row>
    <row r="14" s="2430" customFormat="1" spans="2:12">
      <c r="B14" s="2457" t="s">
        <v>449</v>
      </c>
      <c r="C14" s="2457" t="s">
        <v>465</v>
      </c>
      <c r="D14" s="2458" t="s">
        <v>465</v>
      </c>
      <c r="E14" s="2459"/>
      <c r="F14" s="2458"/>
      <c r="G14" s="2460"/>
      <c r="H14" s="2461"/>
      <c r="I14" s="2460"/>
      <c r="J14" s="2490">
        <v>10000</v>
      </c>
      <c r="K14" s="2491">
        <f t="shared" si="0"/>
        <v>0</v>
      </c>
      <c r="L14" s="2487" t="s">
        <v>449</v>
      </c>
    </row>
    <row r="15" s="2430" customFormat="1" spans="2:12">
      <c r="B15" s="2457" t="s">
        <v>449</v>
      </c>
      <c r="C15" s="2457" t="s">
        <v>465</v>
      </c>
      <c r="D15" s="2458" t="s">
        <v>465</v>
      </c>
      <c r="E15" s="2459"/>
      <c r="F15" s="2458"/>
      <c r="G15" s="2460"/>
      <c r="H15" s="2461"/>
      <c r="I15" s="2460"/>
      <c r="J15" s="2490">
        <v>10000</v>
      </c>
      <c r="K15" s="2491">
        <f t="shared" si="0"/>
        <v>0</v>
      </c>
      <c r="L15" s="2487" t="s">
        <v>449</v>
      </c>
    </row>
    <row r="16" s="2430" customFormat="1" spans="2:12">
      <c r="B16" s="2457" t="s">
        <v>449</v>
      </c>
      <c r="C16" s="2457" t="s">
        <v>465</v>
      </c>
      <c r="D16" s="2458" t="s">
        <v>465</v>
      </c>
      <c r="E16" s="2459"/>
      <c r="F16" s="2458"/>
      <c r="G16" s="2460"/>
      <c r="H16" s="2461"/>
      <c r="I16" s="2460"/>
      <c r="J16" s="2490">
        <v>10000</v>
      </c>
      <c r="K16" s="2491">
        <f t="shared" si="0"/>
        <v>0</v>
      </c>
      <c r="L16" s="2487" t="s">
        <v>449</v>
      </c>
    </row>
    <row r="17" s="2430" customFormat="1" spans="2:12">
      <c r="B17" s="2457" t="s">
        <v>449</v>
      </c>
      <c r="C17" s="2457" t="s">
        <v>465</v>
      </c>
      <c r="D17" s="2458" t="s">
        <v>465</v>
      </c>
      <c r="E17" s="2459"/>
      <c r="F17" s="2458"/>
      <c r="G17" s="2460"/>
      <c r="H17" s="2461"/>
      <c r="I17" s="2460"/>
      <c r="J17" s="2490">
        <v>10000</v>
      </c>
      <c r="K17" s="2491">
        <f t="shared" si="0"/>
        <v>0</v>
      </c>
      <c r="L17" s="2487" t="s">
        <v>449</v>
      </c>
    </row>
    <row r="18" s="2430" customFormat="1" spans="2:12">
      <c r="B18" s="2457" t="s">
        <v>449</v>
      </c>
      <c r="C18" s="2457" t="s">
        <v>465</v>
      </c>
      <c r="D18" s="2458" t="s">
        <v>465</v>
      </c>
      <c r="E18" s="2459"/>
      <c r="F18" s="2458"/>
      <c r="G18" s="2460"/>
      <c r="H18" s="2461"/>
      <c r="I18" s="2460"/>
      <c r="J18" s="2490">
        <v>10000</v>
      </c>
      <c r="K18" s="2491">
        <f t="shared" si="0"/>
        <v>0</v>
      </c>
      <c r="L18" s="2487" t="s">
        <v>449</v>
      </c>
    </row>
    <row r="19" s="2430" customFormat="1" spans="2:12">
      <c r="B19" s="2457" t="s">
        <v>449</v>
      </c>
      <c r="C19" s="2457" t="s">
        <v>466</v>
      </c>
      <c r="D19" s="2458" t="s">
        <v>466</v>
      </c>
      <c r="E19" s="2459"/>
      <c r="F19" s="2458"/>
      <c r="G19" s="2460"/>
      <c r="H19" s="2461"/>
      <c r="I19" s="2460"/>
      <c r="J19" s="2490">
        <v>10000</v>
      </c>
      <c r="K19" s="2491">
        <f t="shared" si="0"/>
        <v>0</v>
      </c>
      <c r="L19" s="2487" t="s">
        <v>449</v>
      </c>
    </row>
    <row r="20" s="2430" customFormat="1" spans="2:12">
      <c r="B20" s="2457" t="s">
        <v>449</v>
      </c>
      <c r="C20" s="2457" t="s">
        <v>466</v>
      </c>
      <c r="D20" s="2458" t="s">
        <v>466</v>
      </c>
      <c r="E20" s="2459"/>
      <c r="F20" s="2458"/>
      <c r="G20" s="2460"/>
      <c r="H20" s="2461"/>
      <c r="I20" s="2460"/>
      <c r="J20" s="2490">
        <v>10000</v>
      </c>
      <c r="K20" s="2491">
        <f t="shared" si="0"/>
        <v>0</v>
      </c>
      <c r="L20" s="2487" t="s">
        <v>449</v>
      </c>
    </row>
    <row r="21" s="2430" customFormat="1" spans="2:12">
      <c r="B21" s="2457" t="s">
        <v>449</v>
      </c>
      <c r="C21" s="2457" t="s">
        <v>466</v>
      </c>
      <c r="D21" s="2458" t="s">
        <v>466</v>
      </c>
      <c r="E21" s="2459"/>
      <c r="F21" s="2458"/>
      <c r="G21" s="2460"/>
      <c r="H21" s="2461"/>
      <c r="I21" s="2460"/>
      <c r="J21" s="2490">
        <v>10000</v>
      </c>
      <c r="K21" s="2491">
        <f t="shared" si="0"/>
        <v>0</v>
      </c>
      <c r="L21" s="2487" t="s">
        <v>449</v>
      </c>
    </row>
    <row r="22" s="2430" customFormat="1" spans="2:12">
      <c r="B22" s="2457" t="s">
        <v>449</v>
      </c>
      <c r="C22" s="2457" t="s">
        <v>466</v>
      </c>
      <c r="D22" s="2458" t="s">
        <v>466</v>
      </c>
      <c r="E22" s="2459"/>
      <c r="F22" s="2458"/>
      <c r="G22" s="2460"/>
      <c r="H22" s="2461"/>
      <c r="I22" s="2460"/>
      <c r="J22" s="2490">
        <v>10000</v>
      </c>
      <c r="K22" s="2491">
        <f t="shared" si="0"/>
        <v>0</v>
      </c>
      <c r="L22" s="2487" t="s">
        <v>449</v>
      </c>
    </row>
    <row r="23" s="2430" customFormat="1" spans="2:12">
      <c r="B23" s="2457" t="s">
        <v>449</v>
      </c>
      <c r="C23" s="2457" t="s">
        <v>466</v>
      </c>
      <c r="D23" s="2458" t="s">
        <v>466</v>
      </c>
      <c r="E23" s="2459"/>
      <c r="F23" s="2458"/>
      <c r="G23" s="2460"/>
      <c r="H23" s="2461"/>
      <c r="I23" s="2460"/>
      <c r="J23" s="2490">
        <v>10000</v>
      </c>
      <c r="K23" s="2491">
        <f t="shared" si="0"/>
        <v>0</v>
      </c>
      <c r="L23" s="2487" t="s">
        <v>449</v>
      </c>
    </row>
    <row r="24" s="2430" customFormat="1" spans="2:12">
      <c r="B24" s="2457" t="s">
        <v>449</v>
      </c>
      <c r="C24" s="2457" t="s">
        <v>466</v>
      </c>
      <c r="D24" s="2458" t="s">
        <v>466</v>
      </c>
      <c r="E24" s="2459"/>
      <c r="F24" s="2458"/>
      <c r="G24" s="2460"/>
      <c r="H24" s="2461"/>
      <c r="I24" s="2460"/>
      <c r="J24" s="2490">
        <v>10000</v>
      </c>
      <c r="K24" s="2491">
        <f t="shared" si="0"/>
        <v>0</v>
      </c>
      <c r="L24" s="2487" t="s">
        <v>449</v>
      </c>
    </row>
    <row r="25" s="2430" customFormat="1" spans="2:12">
      <c r="B25" s="2457" t="s">
        <v>449</v>
      </c>
      <c r="C25" s="2457" t="s">
        <v>466</v>
      </c>
      <c r="D25" s="2458" t="s">
        <v>466</v>
      </c>
      <c r="E25" s="2459"/>
      <c r="F25" s="2458"/>
      <c r="G25" s="2460"/>
      <c r="H25" s="2461"/>
      <c r="I25" s="2460"/>
      <c r="J25" s="2490">
        <v>10000</v>
      </c>
      <c r="K25" s="2491">
        <f t="shared" si="0"/>
        <v>0</v>
      </c>
      <c r="L25" s="2487" t="s">
        <v>449</v>
      </c>
    </row>
    <row r="26" s="2430" customFormat="1" spans="2:12">
      <c r="B26" s="2457" t="s">
        <v>449</v>
      </c>
      <c r="C26" s="2457" t="s">
        <v>466</v>
      </c>
      <c r="D26" s="2458" t="s">
        <v>466</v>
      </c>
      <c r="E26" s="2459"/>
      <c r="F26" s="2458"/>
      <c r="G26" s="2460"/>
      <c r="H26" s="2461"/>
      <c r="I26" s="2460"/>
      <c r="J26" s="2490">
        <v>10000</v>
      </c>
      <c r="K26" s="2491">
        <f t="shared" si="0"/>
        <v>0</v>
      </c>
      <c r="L26" s="2487" t="s">
        <v>449</v>
      </c>
    </row>
    <row r="27" s="2430" customFormat="1" spans="2:12">
      <c r="B27" s="2457" t="s">
        <v>449</v>
      </c>
      <c r="C27" s="2457" t="s">
        <v>466</v>
      </c>
      <c r="D27" s="2458" t="s">
        <v>466</v>
      </c>
      <c r="E27" s="2459"/>
      <c r="F27" s="2458"/>
      <c r="G27" s="2460"/>
      <c r="H27" s="2461"/>
      <c r="I27" s="2460"/>
      <c r="J27" s="2490">
        <v>10000</v>
      </c>
      <c r="K27" s="2491">
        <f t="shared" si="0"/>
        <v>0</v>
      </c>
      <c r="L27" s="2487" t="s">
        <v>449</v>
      </c>
    </row>
    <row r="28" s="2430" customFormat="1" spans="2:12">
      <c r="B28" s="2457" t="s">
        <v>449</v>
      </c>
      <c r="C28" s="2457" t="s">
        <v>466</v>
      </c>
      <c r="D28" s="2458" t="s">
        <v>466</v>
      </c>
      <c r="E28" s="2459"/>
      <c r="F28" s="2458"/>
      <c r="G28" s="2460"/>
      <c r="H28" s="2461"/>
      <c r="I28" s="2460"/>
      <c r="J28" s="2490">
        <v>10000</v>
      </c>
      <c r="K28" s="2491">
        <f t="shared" si="0"/>
        <v>0</v>
      </c>
      <c r="L28" s="2487" t="s">
        <v>449</v>
      </c>
    </row>
    <row r="29" s="2430" customFormat="1" spans="2:12">
      <c r="B29" s="2457" t="s">
        <v>449</v>
      </c>
      <c r="C29" s="2457" t="s">
        <v>467</v>
      </c>
      <c r="D29" s="2458" t="s">
        <v>467</v>
      </c>
      <c r="E29" s="2459"/>
      <c r="F29" s="2458"/>
      <c r="G29" s="2460"/>
      <c r="H29" s="2461"/>
      <c r="I29" s="2460"/>
      <c r="J29" s="2490">
        <v>10000</v>
      </c>
      <c r="K29" s="2491">
        <f t="shared" si="0"/>
        <v>0</v>
      </c>
      <c r="L29" s="2487" t="s">
        <v>449</v>
      </c>
    </row>
    <row r="30" s="2430" customFormat="1" spans="2:12">
      <c r="B30" s="2457" t="s">
        <v>449</v>
      </c>
      <c r="C30" s="2457" t="s">
        <v>467</v>
      </c>
      <c r="D30" s="2458" t="s">
        <v>467</v>
      </c>
      <c r="E30" s="2459"/>
      <c r="F30" s="2458"/>
      <c r="G30" s="2460"/>
      <c r="H30" s="2461"/>
      <c r="I30" s="2460"/>
      <c r="J30" s="2490">
        <v>10000</v>
      </c>
      <c r="K30" s="2491">
        <f t="shared" si="0"/>
        <v>0</v>
      </c>
      <c r="L30" s="2487" t="s">
        <v>449</v>
      </c>
    </row>
    <row r="31" s="2430" customFormat="1" spans="2:12">
      <c r="B31" s="2457" t="s">
        <v>449</v>
      </c>
      <c r="C31" s="2457" t="s">
        <v>467</v>
      </c>
      <c r="D31" s="2458" t="s">
        <v>467</v>
      </c>
      <c r="E31" s="2459"/>
      <c r="F31" s="2458"/>
      <c r="G31" s="2460"/>
      <c r="H31" s="2461"/>
      <c r="I31" s="2460"/>
      <c r="J31" s="2490">
        <v>10000</v>
      </c>
      <c r="K31" s="2491">
        <f t="shared" si="0"/>
        <v>0</v>
      </c>
      <c r="L31" s="2487" t="s">
        <v>449</v>
      </c>
    </row>
    <row r="32" s="2430" customFormat="1" spans="2:12">
      <c r="B32" s="2457" t="s">
        <v>449</v>
      </c>
      <c r="C32" s="2457" t="s">
        <v>467</v>
      </c>
      <c r="D32" s="2458" t="s">
        <v>467</v>
      </c>
      <c r="E32" s="2459"/>
      <c r="F32" s="2458"/>
      <c r="G32" s="2460"/>
      <c r="H32" s="2461"/>
      <c r="I32" s="2460"/>
      <c r="J32" s="2490">
        <v>10000</v>
      </c>
      <c r="K32" s="2491">
        <f t="shared" si="0"/>
        <v>0</v>
      </c>
      <c r="L32" s="2487" t="s">
        <v>449</v>
      </c>
    </row>
    <row r="33" s="2430" customFormat="1" spans="2:12">
      <c r="B33" s="2457" t="s">
        <v>449</v>
      </c>
      <c r="C33" s="2457" t="s">
        <v>467</v>
      </c>
      <c r="D33" s="2458" t="s">
        <v>467</v>
      </c>
      <c r="E33" s="2459"/>
      <c r="F33" s="2458"/>
      <c r="G33" s="2460"/>
      <c r="H33" s="2461"/>
      <c r="I33" s="2460"/>
      <c r="J33" s="2490">
        <v>10000</v>
      </c>
      <c r="K33" s="2491">
        <f t="shared" si="0"/>
        <v>0</v>
      </c>
      <c r="L33" s="2487" t="s">
        <v>449</v>
      </c>
    </row>
    <row r="34" s="2430" customFormat="1" spans="2:12">
      <c r="B34" s="2457" t="s">
        <v>449</v>
      </c>
      <c r="C34" s="2457" t="s">
        <v>467</v>
      </c>
      <c r="D34" s="2458" t="s">
        <v>467</v>
      </c>
      <c r="E34" s="2459"/>
      <c r="F34" s="2458"/>
      <c r="G34" s="2460"/>
      <c r="H34" s="2461"/>
      <c r="I34" s="2460"/>
      <c r="J34" s="2490">
        <v>10000</v>
      </c>
      <c r="K34" s="2491">
        <f t="shared" si="0"/>
        <v>0</v>
      </c>
      <c r="L34" s="2487" t="s">
        <v>449</v>
      </c>
    </row>
    <row r="35" s="2430" customFormat="1" spans="2:12">
      <c r="B35" s="2457" t="s">
        <v>449</v>
      </c>
      <c r="C35" s="2457" t="s">
        <v>467</v>
      </c>
      <c r="D35" s="2458" t="s">
        <v>467</v>
      </c>
      <c r="E35" s="2459"/>
      <c r="F35" s="2458"/>
      <c r="G35" s="2460"/>
      <c r="H35" s="2461"/>
      <c r="I35" s="2460"/>
      <c r="J35" s="2490">
        <v>10000</v>
      </c>
      <c r="K35" s="2491">
        <f t="shared" si="0"/>
        <v>0</v>
      </c>
      <c r="L35" s="2487" t="s">
        <v>449</v>
      </c>
    </row>
    <row r="36" s="2430" customFormat="1" spans="2:12">
      <c r="B36" s="2457" t="s">
        <v>449</v>
      </c>
      <c r="C36" s="2457" t="s">
        <v>467</v>
      </c>
      <c r="D36" s="2458" t="s">
        <v>467</v>
      </c>
      <c r="E36" s="2459"/>
      <c r="F36" s="2458"/>
      <c r="G36" s="2460"/>
      <c r="H36" s="2461"/>
      <c r="I36" s="2460"/>
      <c r="J36" s="2490">
        <v>10000</v>
      </c>
      <c r="K36" s="2491">
        <f t="shared" si="0"/>
        <v>0</v>
      </c>
      <c r="L36" s="2487" t="s">
        <v>449</v>
      </c>
    </row>
    <row r="37" s="2430" customFormat="1" spans="2:12">
      <c r="B37" s="2457" t="s">
        <v>449</v>
      </c>
      <c r="C37" s="2457" t="s">
        <v>467</v>
      </c>
      <c r="D37" s="2458" t="s">
        <v>467</v>
      </c>
      <c r="E37" s="2459"/>
      <c r="F37" s="2458"/>
      <c r="G37" s="2460"/>
      <c r="H37" s="2461"/>
      <c r="I37" s="2460"/>
      <c r="J37" s="2490">
        <v>10000</v>
      </c>
      <c r="K37" s="2491">
        <f t="shared" si="0"/>
        <v>0</v>
      </c>
      <c r="L37" s="2487" t="s">
        <v>449</v>
      </c>
    </row>
    <row r="38" s="2430" customFormat="1" spans="2:12">
      <c r="B38" s="2457" t="s">
        <v>449</v>
      </c>
      <c r="C38" s="2457" t="s">
        <v>467</v>
      </c>
      <c r="D38" s="2458" t="s">
        <v>467</v>
      </c>
      <c r="E38" s="2459"/>
      <c r="F38" s="2458"/>
      <c r="G38" s="2460"/>
      <c r="H38" s="2461"/>
      <c r="I38" s="2460"/>
      <c r="J38" s="2490">
        <v>10000</v>
      </c>
      <c r="K38" s="2491">
        <f t="shared" si="0"/>
        <v>0</v>
      </c>
      <c r="L38" s="2487" t="s">
        <v>449</v>
      </c>
    </row>
    <row r="39" s="2430" customFormat="1" spans="2:12">
      <c r="B39" s="2457" t="s">
        <v>449</v>
      </c>
      <c r="C39" s="2457" t="s">
        <v>467</v>
      </c>
      <c r="D39" s="2458" t="s">
        <v>467</v>
      </c>
      <c r="E39" s="2459"/>
      <c r="F39" s="2458"/>
      <c r="G39" s="2460"/>
      <c r="H39" s="2461"/>
      <c r="I39" s="2460"/>
      <c r="J39" s="2490">
        <v>10000</v>
      </c>
      <c r="K39" s="2491">
        <f t="shared" si="0"/>
        <v>0</v>
      </c>
      <c r="L39" s="2487" t="s">
        <v>449</v>
      </c>
    </row>
    <row r="40" s="2430" customFormat="1" spans="2:12">
      <c r="B40" s="2457" t="s">
        <v>449</v>
      </c>
      <c r="C40" s="2457" t="s">
        <v>467</v>
      </c>
      <c r="D40" s="2458" t="s">
        <v>467</v>
      </c>
      <c r="E40" s="2459"/>
      <c r="F40" s="2458"/>
      <c r="G40" s="2460"/>
      <c r="H40" s="2461"/>
      <c r="I40" s="2460"/>
      <c r="J40" s="2490">
        <v>10000</v>
      </c>
      <c r="K40" s="2491">
        <f t="shared" si="0"/>
        <v>0</v>
      </c>
      <c r="L40" s="2487" t="s">
        <v>449</v>
      </c>
    </row>
    <row r="41" s="2430" customFormat="1" spans="2:12">
      <c r="B41" s="2457" t="s">
        <v>449</v>
      </c>
      <c r="C41" s="2457" t="s">
        <v>467</v>
      </c>
      <c r="D41" s="2458" t="s">
        <v>467</v>
      </c>
      <c r="E41" s="2459"/>
      <c r="F41" s="2458"/>
      <c r="G41" s="2460"/>
      <c r="H41" s="2461"/>
      <c r="I41" s="2460"/>
      <c r="J41" s="2490">
        <v>10000</v>
      </c>
      <c r="K41" s="2491">
        <f t="shared" si="0"/>
        <v>0</v>
      </c>
      <c r="L41" s="2487" t="s">
        <v>449</v>
      </c>
    </row>
    <row r="42" s="2430" customFormat="1" spans="2:12">
      <c r="B42" s="2462" t="s">
        <v>7</v>
      </c>
      <c r="C42" s="2462" t="s">
        <v>7</v>
      </c>
      <c r="D42" s="2463" t="s">
        <v>468</v>
      </c>
      <c r="E42" s="2464"/>
      <c r="F42" s="2463" t="s">
        <v>459</v>
      </c>
      <c r="G42" s="2465" t="s">
        <v>462</v>
      </c>
      <c r="H42" s="2466" t="s">
        <v>460</v>
      </c>
      <c r="I42" s="2470"/>
      <c r="J42" s="2492"/>
      <c r="K42" s="2493"/>
      <c r="L42" s="2487" t="s">
        <v>469</v>
      </c>
    </row>
    <row r="43" s="2430" customFormat="1" spans="2:12">
      <c r="B43" s="2467" t="s">
        <v>469</v>
      </c>
      <c r="C43" s="2467" t="s">
        <v>463</v>
      </c>
      <c r="D43" s="2468" t="s">
        <v>463</v>
      </c>
      <c r="E43" s="2469"/>
      <c r="F43" s="2468"/>
      <c r="G43" s="2470"/>
      <c r="H43" s="2471"/>
      <c r="I43" s="2470"/>
      <c r="J43" s="2494">
        <v>10000</v>
      </c>
      <c r="K43" s="2495">
        <f t="shared" ref="K43:K55" si="1">H43/J43</f>
        <v>0</v>
      </c>
      <c r="L43" s="2487" t="s">
        <v>469</v>
      </c>
    </row>
    <row r="44" s="2430" customFormat="1" spans="2:12">
      <c r="B44" s="2467" t="s">
        <v>469</v>
      </c>
      <c r="C44" s="2467" t="s">
        <v>470</v>
      </c>
      <c r="D44" s="2468" t="s">
        <v>471</v>
      </c>
      <c r="E44" s="2469"/>
      <c r="F44" s="2468"/>
      <c r="G44" s="2470"/>
      <c r="H44" s="2471"/>
      <c r="I44" s="2470"/>
      <c r="J44" s="2494">
        <v>10000</v>
      </c>
      <c r="K44" s="2495">
        <f t="shared" si="1"/>
        <v>0</v>
      </c>
      <c r="L44" s="2487" t="s">
        <v>469</v>
      </c>
    </row>
    <row r="45" s="2430" customFormat="1" spans="2:12">
      <c r="B45" s="2467" t="s">
        <v>469</v>
      </c>
      <c r="C45" s="2467" t="s">
        <v>470</v>
      </c>
      <c r="D45" s="2468" t="s">
        <v>472</v>
      </c>
      <c r="E45" s="2469"/>
      <c r="F45" s="2468"/>
      <c r="G45" s="2470"/>
      <c r="H45" s="2471"/>
      <c r="I45" s="2470"/>
      <c r="J45" s="2494">
        <v>10000</v>
      </c>
      <c r="K45" s="2495">
        <f t="shared" si="1"/>
        <v>0</v>
      </c>
      <c r="L45" s="2487" t="s">
        <v>469</v>
      </c>
    </row>
    <row r="46" s="2430" customFormat="1" spans="2:12">
      <c r="B46" s="2467" t="s">
        <v>469</v>
      </c>
      <c r="C46" s="2467" t="s">
        <v>470</v>
      </c>
      <c r="D46" s="2468" t="s">
        <v>473</v>
      </c>
      <c r="E46" s="2469"/>
      <c r="F46" s="2468"/>
      <c r="G46" s="2470"/>
      <c r="H46" s="2471"/>
      <c r="I46" s="2470"/>
      <c r="J46" s="2494">
        <v>10000</v>
      </c>
      <c r="K46" s="2495">
        <f t="shared" si="1"/>
        <v>0</v>
      </c>
      <c r="L46" s="2487" t="s">
        <v>469</v>
      </c>
    </row>
    <row r="47" s="2430" customFormat="1" spans="2:12">
      <c r="B47" s="2467" t="s">
        <v>469</v>
      </c>
      <c r="C47" s="2467" t="s">
        <v>470</v>
      </c>
      <c r="D47" s="2468" t="s">
        <v>474</v>
      </c>
      <c r="E47" s="2469"/>
      <c r="F47" s="2468"/>
      <c r="G47" s="2470"/>
      <c r="H47" s="2471"/>
      <c r="I47" s="2470"/>
      <c r="J47" s="2494">
        <v>10000</v>
      </c>
      <c r="K47" s="2495">
        <f t="shared" si="1"/>
        <v>0</v>
      </c>
      <c r="L47" s="2487" t="s">
        <v>469</v>
      </c>
    </row>
    <row r="48" s="2430" customFormat="1" spans="2:12">
      <c r="B48" s="2467" t="s">
        <v>469</v>
      </c>
      <c r="C48" s="2467" t="s">
        <v>470</v>
      </c>
      <c r="D48" s="2468" t="s">
        <v>475</v>
      </c>
      <c r="E48" s="2469"/>
      <c r="F48" s="2468"/>
      <c r="G48" s="2470"/>
      <c r="H48" s="2471"/>
      <c r="I48" s="2470"/>
      <c r="J48" s="2494">
        <v>10000</v>
      </c>
      <c r="K48" s="2495">
        <f t="shared" si="1"/>
        <v>0</v>
      </c>
      <c r="L48" s="2487" t="s">
        <v>469</v>
      </c>
    </row>
    <row r="49" s="2430" customFormat="1" spans="2:12">
      <c r="B49" s="2467" t="s">
        <v>469</v>
      </c>
      <c r="C49" s="2467" t="s">
        <v>470</v>
      </c>
      <c r="D49" s="2468" t="s">
        <v>476</v>
      </c>
      <c r="E49" s="2469"/>
      <c r="F49" s="2468"/>
      <c r="G49" s="2470"/>
      <c r="H49" s="2471"/>
      <c r="I49" s="2470"/>
      <c r="J49" s="2494">
        <v>10000</v>
      </c>
      <c r="K49" s="2495">
        <f t="shared" si="1"/>
        <v>0</v>
      </c>
      <c r="L49" s="2487" t="s">
        <v>469</v>
      </c>
    </row>
    <row r="50" s="2430" customFormat="1" spans="2:12">
      <c r="B50" s="2467" t="s">
        <v>469</v>
      </c>
      <c r="C50" s="2467" t="s">
        <v>470</v>
      </c>
      <c r="D50" s="2468" t="s">
        <v>477</v>
      </c>
      <c r="E50" s="2469"/>
      <c r="F50" s="2468"/>
      <c r="G50" s="2470"/>
      <c r="H50" s="2471"/>
      <c r="I50" s="2470"/>
      <c r="J50" s="2494">
        <v>10000</v>
      </c>
      <c r="K50" s="2495">
        <f t="shared" si="1"/>
        <v>0</v>
      </c>
      <c r="L50" s="2487" t="s">
        <v>469</v>
      </c>
    </row>
    <row r="51" s="2430" customFormat="1" spans="2:12">
      <c r="B51" s="2467" t="s">
        <v>469</v>
      </c>
      <c r="C51" s="2467" t="s">
        <v>467</v>
      </c>
      <c r="D51" s="2468" t="s">
        <v>478</v>
      </c>
      <c r="E51" s="2469"/>
      <c r="F51" s="2468"/>
      <c r="G51" s="2470"/>
      <c r="H51" s="2471"/>
      <c r="I51" s="2470"/>
      <c r="J51" s="2494">
        <v>10000</v>
      </c>
      <c r="K51" s="2495">
        <f t="shared" si="1"/>
        <v>0</v>
      </c>
      <c r="L51" s="2487" t="s">
        <v>469</v>
      </c>
    </row>
    <row r="52" s="2430" customFormat="1" spans="2:12">
      <c r="B52" s="2467" t="s">
        <v>469</v>
      </c>
      <c r="C52" s="2467" t="s">
        <v>467</v>
      </c>
      <c r="D52" s="2468" t="s">
        <v>479</v>
      </c>
      <c r="E52" s="2469"/>
      <c r="F52" s="2468"/>
      <c r="G52" s="2470"/>
      <c r="H52" s="2471"/>
      <c r="I52" s="2470"/>
      <c r="J52" s="2494">
        <v>10000</v>
      </c>
      <c r="K52" s="2495">
        <f t="shared" si="1"/>
        <v>0</v>
      </c>
      <c r="L52" s="2487" t="s">
        <v>469</v>
      </c>
    </row>
    <row r="53" s="2430" customFormat="1" spans="2:12">
      <c r="B53" s="2467" t="s">
        <v>469</v>
      </c>
      <c r="C53" s="2467" t="s">
        <v>467</v>
      </c>
      <c r="D53" s="2468" t="s">
        <v>480</v>
      </c>
      <c r="E53" s="2469"/>
      <c r="F53" s="2468"/>
      <c r="G53" s="2470"/>
      <c r="H53" s="2471"/>
      <c r="I53" s="2470"/>
      <c r="J53" s="2494">
        <v>10000</v>
      </c>
      <c r="K53" s="2495">
        <f t="shared" si="1"/>
        <v>0</v>
      </c>
      <c r="L53" s="2487" t="s">
        <v>469</v>
      </c>
    </row>
    <row r="54" s="2430" customFormat="1" spans="2:12">
      <c r="B54" s="2467" t="s">
        <v>469</v>
      </c>
      <c r="C54" s="2467" t="s">
        <v>467</v>
      </c>
      <c r="D54" s="2468" t="s">
        <v>481</v>
      </c>
      <c r="E54" s="2469"/>
      <c r="F54" s="2468"/>
      <c r="G54" s="2470"/>
      <c r="H54" s="2471"/>
      <c r="I54" s="2470"/>
      <c r="J54" s="2494">
        <v>10000</v>
      </c>
      <c r="K54" s="2495">
        <f t="shared" si="1"/>
        <v>0</v>
      </c>
      <c r="L54" s="2487" t="s">
        <v>469</v>
      </c>
    </row>
    <row r="55" s="2430" customFormat="1" spans="2:12">
      <c r="B55" s="2467" t="s">
        <v>469</v>
      </c>
      <c r="C55" s="2467" t="s">
        <v>465</v>
      </c>
      <c r="D55" s="2468" t="s">
        <v>482</v>
      </c>
      <c r="E55" s="2469"/>
      <c r="F55" s="2468"/>
      <c r="G55" s="2470"/>
      <c r="H55" s="2471"/>
      <c r="I55" s="2470"/>
      <c r="J55" s="2494">
        <v>10000</v>
      </c>
      <c r="K55" s="2495">
        <f t="shared" si="1"/>
        <v>0</v>
      </c>
      <c r="L55" s="2487" t="s">
        <v>469</v>
      </c>
    </row>
    <row r="56" s="2430" customFormat="1" spans="2:12">
      <c r="B56" s="2472" t="s">
        <v>7</v>
      </c>
      <c r="C56" s="2472" t="s">
        <v>7</v>
      </c>
      <c r="D56" s="2472" t="s">
        <v>483</v>
      </c>
      <c r="E56" s="2473"/>
      <c r="F56" s="2474" t="s">
        <v>459</v>
      </c>
      <c r="G56" s="2475" t="s">
        <v>462</v>
      </c>
      <c r="H56" s="2476" t="s">
        <v>460</v>
      </c>
      <c r="I56" s="2480"/>
      <c r="J56" s="2496"/>
      <c r="K56" s="2497"/>
      <c r="L56" s="2487"/>
    </row>
    <row r="57" s="2430" customFormat="1" spans="2:13">
      <c r="B57" s="2477" t="s">
        <v>340</v>
      </c>
      <c r="C57" s="2477" t="s">
        <v>484</v>
      </c>
      <c r="D57" s="2477" t="s">
        <v>465</v>
      </c>
      <c r="E57" s="2478"/>
      <c r="F57" s="2479"/>
      <c r="G57" s="2480"/>
      <c r="H57" s="2481"/>
      <c r="I57" s="2480"/>
      <c r="J57" s="2498">
        <v>10000</v>
      </c>
      <c r="K57" s="2499">
        <f t="shared" ref="K57:K66" si="2">H57/J57</f>
        <v>0</v>
      </c>
      <c r="L57" s="2487" t="s">
        <v>469</v>
      </c>
      <c r="M57" s="2430" t="s">
        <v>485</v>
      </c>
    </row>
    <row r="58" s="2430" customFormat="1" spans="2:13">
      <c r="B58" s="2477" t="s">
        <v>340</v>
      </c>
      <c r="C58" s="2477" t="s">
        <v>484</v>
      </c>
      <c r="D58" s="2477" t="s">
        <v>467</v>
      </c>
      <c r="E58" s="2478"/>
      <c r="F58" s="2479"/>
      <c r="G58" s="2480"/>
      <c r="H58" s="2481"/>
      <c r="I58" s="2480"/>
      <c r="J58" s="2498">
        <v>10000</v>
      </c>
      <c r="K58" s="2499">
        <f t="shared" si="2"/>
        <v>0</v>
      </c>
      <c r="L58" s="2487" t="s">
        <v>469</v>
      </c>
      <c r="M58" s="2430" t="s">
        <v>485</v>
      </c>
    </row>
    <row r="59" s="2430" customFormat="1" spans="2:13">
      <c r="B59" s="2477" t="s">
        <v>340</v>
      </c>
      <c r="C59" s="2477" t="s">
        <v>484</v>
      </c>
      <c r="D59" s="2477" t="s">
        <v>467</v>
      </c>
      <c r="E59" s="2478"/>
      <c r="F59" s="2479"/>
      <c r="G59" s="2480"/>
      <c r="H59" s="2481"/>
      <c r="I59" s="2480"/>
      <c r="J59" s="2498">
        <v>10000</v>
      </c>
      <c r="K59" s="2499">
        <f t="shared" si="2"/>
        <v>0</v>
      </c>
      <c r="L59" s="2487" t="s">
        <v>469</v>
      </c>
      <c r="M59" s="2430" t="s">
        <v>485</v>
      </c>
    </row>
    <row r="60" s="2430" customFormat="1" spans="2:13">
      <c r="B60" s="2477" t="s">
        <v>340</v>
      </c>
      <c r="C60" s="2477" t="s">
        <v>484</v>
      </c>
      <c r="D60" s="2477" t="s">
        <v>467</v>
      </c>
      <c r="E60" s="2478"/>
      <c r="F60" s="2479"/>
      <c r="G60" s="2480"/>
      <c r="H60" s="2481"/>
      <c r="I60" s="2480"/>
      <c r="J60" s="2498">
        <v>10000</v>
      </c>
      <c r="K60" s="2499">
        <f t="shared" si="2"/>
        <v>0</v>
      </c>
      <c r="L60" s="2487" t="s">
        <v>469</v>
      </c>
      <c r="M60" s="2430" t="s">
        <v>485</v>
      </c>
    </row>
    <row r="61" s="2430" customFormat="1" spans="2:13">
      <c r="B61" s="2477" t="s">
        <v>340</v>
      </c>
      <c r="C61" s="2477" t="s">
        <v>484</v>
      </c>
      <c r="D61" s="2477" t="s">
        <v>467</v>
      </c>
      <c r="E61" s="2478"/>
      <c r="F61" s="2479"/>
      <c r="G61" s="2480"/>
      <c r="H61" s="2481"/>
      <c r="I61" s="2480"/>
      <c r="J61" s="2498">
        <v>10000</v>
      </c>
      <c r="K61" s="2499">
        <f t="shared" si="2"/>
        <v>0</v>
      </c>
      <c r="L61" s="2487" t="s">
        <v>469</v>
      </c>
      <c r="M61" s="2430" t="s">
        <v>485</v>
      </c>
    </row>
    <row r="62" s="2430" customFormat="1" spans="2:13">
      <c r="B62" s="2477" t="s">
        <v>340</v>
      </c>
      <c r="C62" s="2477" t="s">
        <v>484</v>
      </c>
      <c r="D62" s="2477" t="s">
        <v>467</v>
      </c>
      <c r="E62" s="2478"/>
      <c r="F62" s="2479"/>
      <c r="G62" s="2480"/>
      <c r="H62" s="2481"/>
      <c r="I62" s="2480"/>
      <c r="J62" s="2498">
        <v>10000</v>
      </c>
      <c r="K62" s="2499">
        <f t="shared" si="2"/>
        <v>0</v>
      </c>
      <c r="L62" s="2487" t="s">
        <v>469</v>
      </c>
      <c r="M62" s="2430" t="s">
        <v>485</v>
      </c>
    </row>
    <row r="63" s="2430" customFormat="1" spans="2:13">
      <c r="B63" s="2477" t="s">
        <v>340</v>
      </c>
      <c r="C63" s="2477" t="s">
        <v>484</v>
      </c>
      <c r="D63" s="2477" t="s">
        <v>467</v>
      </c>
      <c r="E63" s="2478"/>
      <c r="F63" s="2479"/>
      <c r="G63" s="2480"/>
      <c r="H63" s="2481"/>
      <c r="I63" s="2480"/>
      <c r="J63" s="2498">
        <v>10000</v>
      </c>
      <c r="K63" s="2499">
        <f t="shared" si="2"/>
        <v>0</v>
      </c>
      <c r="L63" s="2487" t="s">
        <v>469</v>
      </c>
      <c r="M63" s="2430" t="s">
        <v>485</v>
      </c>
    </row>
    <row r="64" s="2430" customFormat="1" spans="2:13">
      <c r="B64" s="2477" t="s">
        <v>340</v>
      </c>
      <c r="C64" s="2477" t="s">
        <v>484</v>
      </c>
      <c r="D64" s="2477" t="s">
        <v>467</v>
      </c>
      <c r="E64" s="2478"/>
      <c r="F64" s="2479"/>
      <c r="G64" s="2480"/>
      <c r="H64" s="2481"/>
      <c r="I64" s="2480"/>
      <c r="J64" s="2498">
        <v>10000</v>
      </c>
      <c r="K64" s="2499">
        <f t="shared" si="2"/>
        <v>0</v>
      </c>
      <c r="L64" s="2487" t="s">
        <v>469</v>
      </c>
      <c r="M64" s="2430" t="s">
        <v>485</v>
      </c>
    </row>
    <row r="65" s="2430" customFormat="1" spans="2:13">
      <c r="B65" s="2477" t="s">
        <v>340</v>
      </c>
      <c r="C65" s="2477" t="s">
        <v>484</v>
      </c>
      <c r="D65" s="2477" t="s">
        <v>467</v>
      </c>
      <c r="E65" s="2478"/>
      <c r="F65" s="2479"/>
      <c r="G65" s="2480"/>
      <c r="H65" s="2481"/>
      <c r="I65" s="2480"/>
      <c r="J65" s="2498">
        <v>10000</v>
      </c>
      <c r="K65" s="2499">
        <f t="shared" si="2"/>
        <v>0</v>
      </c>
      <c r="L65" s="2487" t="s">
        <v>469</v>
      </c>
      <c r="M65" s="2430" t="s">
        <v>485</v>
      </c>
    </row>
    <row r="66" s="2430" customFormat="1" spans="2:13">
      <c r="B66" s="2477" t="s">
        <v>340</v>
      </c>
      <c r="C66" s="2477" t="s">
        <v>484</v>
      </c>
      <c r="D66" s="2477" t="s">
        <v>467</v>
      </c>
      <c r="E66" s="2478"/>
      <c r="F66" s="2479"/>
      <c r="G66" s="2480"/>
      <c r="H66" s="2481"/>
      <c r="I66" s="2480"/>
      <c r="J66" s="2498">
        <v>10000</v>
      </c>
      <c r="K66" s="2499">
        <f t="shared" si="2"/>
        <v>0</v>
      </c>
      <c r="L66" s="2487" t="s">
        <v>469</v>
      </c>
      <c r="M66" s="2430" t="s">
        <v>485</v>
      </c>
    </row>
    <row r="67" s="2430" customFormat="1" spans="2:12">
      <c r="B67" s="2500" t="s">
        <v>7</v>
      </c>
      <c r="C67" s="2500" t="s">
        <v>7</v>
      </c>
      <c r="D67" s="2501" t="s">
        <v>486</v>
      </c>
      <c r="E67" s="2502"/>
      <c r="F67" s="2501" t="s">
        <v>459</v>
      </c>
      <c r="G67" s="2503" t="s">
        <v>462</v>
      </c>
      <c r="H67" s="2504" t="s">
        <v>460</v>
      </c>
      <c r="I67" s="2509"/>
      <c r="J67" s="2524"/>
      <c r="K67" s="2525"/>
      <c r="L67" s="2487" t="s">
        <v>487</v>
      </c>
    </row>
    <row r="68" s="2430" customFormat="1" spans="2:12">
      <c r="B68" s="2505" t="s">
        <v>487</v>
      </c>
      <c r="C68" s="2506" t="s">
        <v>488</v>
      </c>
      <c r="D68" s="2506"/>
      <c r="E68" s="2502"/>
      <c r="F68" s="2501"/>
      <c r="G68" s="2507" t="s">
        <v>489</v>
      </c>
      <c r="H68" s="2504"/>
      <c r="I68" s="2509"/>
      <c r="J68" s="2524"/>
      <c r="K68" s="2525"/>
      <c r="L68" s="2487" t="s">
        <v>487</v>
      </c>
    </row>
    <row r="69" s="2430" customFormat="1" spans="2:12">
      <c r="B69" s="2505" t="s">
        <v>487</v>
      </c>
      <c r="C69" s="2506" t="s">
        <v>490</v>
      </c>
      <c r="D69" s="2506"/>
      <c r="E69" s="2502"/>
      <c r="F69" s="2501"/>
      <c r="G69" s="2507" t="s">
        <v>491</v>
      </c>
      <c r="H69" s="2504"/>
      <c r="I69" s="2509"/>
      <c r="J69" s="2524"/>
      <c r="K69" s="2525"/>
      <c r="L69" s="2487" t="s">
        <v>487</v>
      </c>
    </row>
    <row r="70" s="2430" customFormat="1" spans="2:12">
      <c r="B70" s="2505" t="s">
        <v>487</v>
      </c>
      <c r="C70" s="2506" t="s">
        <v>492</v>
      </c>
      <c r="D70" s="2506"/>
      <c r="E70" s="2502"/>
      <c r="F70" s="2501"/>
      <c r="G70" s="2507" t="s">
        <v>493</v>
      </c>
      <c r="H70" s="2504"/>
      <c r="I70" s="2509"/>
      <c r="J70" s="2524"/>
      <c r="K70" s="2525"/>
      <c r="L70" s="2487" t="s">
        <v>487</v>
      </c>
    </row>
    <row r="71" s="2430" customFormat="1" spans="2:12">
      <c r="B71" s="2505" t="s">
        <v>487</v>
      </c>
      <c r="C71" s="2506" t="s">
        <v>494</v>
      </c>
      <c r="D71" s="2506"/>
      <c r="E71" s="2502"/>
      <c r="F71" s="2501"/>
      <c r="G71" s="2507" t="s">
        <v>495</v>
      </c>
      <c r="H71" s="2504"/>
      <c r="I71" s="2509"/>
      <c r="J71" s="2524"/>
      <c r="K71" s="2525"/>
      <c r="L71" s="2487" t="s">
        <v>487</v>
      </c>
    </row>
    <row r="72" s="2430" customFormat="1" spans="2:12">
      <c r="B72" s="2505" t="s">
        <v>487</v>
      </c>
      <c r="C72" s="2506" t="s">
        <v>496</v>
      </c>
      <c r="D72" s="2506"/>
      <c r="E72" s="2502"/>
      <c r="F72" s="2501"/>
      <c r="G72" s="2507" t="s">
        <v>497</v>
      </c>
      <c r="H72" s="2504"/>
      <c r="I72" s="2509"/>
      <c r="J72" s="2524"/>
      <c r="K72" s="2525"/>
      <c r="L72" s="2487" t="s">
        <v>487</v>
      </c>
    </row>
    <row r="73" s="2430" customFormat="1" spans="2:12">
      <c r="B73" s="2505" t="s">
        <v>487</v>
      </c>
      <c r="C73" s="2505" t="s">
        <v>498</v>
      </c>
      <c r="D73" s="2506" t="s">
        <v>498</v>
      </c>
      <c r="E73" s="2508"/>
      <c r="F73" s="2506"/>
      <c r="G73" s="2509"/>
      <c r="H73" s="2509"/>
      <c r="I73" s="2509"/>
      <c r="J73" s="2526">
        <v>10000</v>
      </c>
      <c r="K73" s="2527">
        <f t="shared" ref="K73:K136" si="3">H73/J73</f>
        <v>0</v>
      </c>
      <c r="L73" s="2487" t="s">
        <v>487</v>
      </c>
    </row>
    <row r="74" s="2430" customFormat="1" spans="2:12">
      <c r="B74" s="2505" t="s">
        <v>487</v>
      </c>
      <c r="C74" s="2505" t="s">
        <v>499</v>
      </c>
      <c r="D74" s="2506" t="s">
        <v>499</v>
      </c>
      <c r="E74" s="2508"/>
      <c r="F74" s="2506"/>
      <c r="G74" s="2509"/>
      <c r="H74" s="2510"/>
      <c r="I74" s="2509"/>
      <c r="J74" s="2526">
        <v>10000</v>
      </c>
      <c r="K74" s="2527">
        <f t="shared" si="3"/>
        <v>0</v>
      </c>
      <c r="L74" s="2487" t="s">
        <v>487</v>
      </c>
    </row>
    <row r="75" s="2430" customFormat="1" spans="2:12">
      <c r="B75" s="2505" t="s">
        <v>487</v>
      </c>
      <c r="C75" s="2505" t="s">
        <v>500</v>
      </c>
      <c r="D75" s="2506" t="s">
        <v>500</v>
      </c>
      <c r="E75" s="2508"/>
      <c r="F75" s="2506"/>
      <c r="G75" s="2509"/>
      <c r="H75" s="2510"/>
      <c r="I75" s="2509"/>
      <c r="J75" s="2526">
        <v>10000</v>
      </c>
      <c r="K75" s="2527">
        <f t="shared" si="3"/>
        <v>0</v>
      </c>
      <c r="L75" s="2487" t="s">
        <v>487</v>
      </c>
    </row>
    <row r="76" s="2430" customFormat="1" spans="2:12">
      <c r="B76" s="2505" t="s">
        <v>487</v>
      </c>
      <c r="C76" s="2505" t="s">
        <v>501</v>
      </c>
      <c r="D76" s="2506" t="s">
        <v>502</v>
      </c>
      <c r="E76" s="2508"/>
      <c r="F76" s="2506"/>
      <c r="G76" s="2509"/>
      <c r="H76" s="2510"/>
      <c r="I76" s="2509"/>
      <c r="J76" s="2526">
        <v>10000</v>
      </c>
      <c r="K76" s="2527">
        <f t="shared" si="3"/>
        <v>0</v>
      </c>
      <c r="L76" s="2487" t="s">
        <v>487</v>
      </c>
    </row>
    <row r="77" s="2430" customFormat="1" spans="2:12">
      <c r="B77" s="2505" t="s">
        <v>487</v>
      </c>
      <c r="C77" s="2505" t="s">
        <v>501</v>
      </c>
      <c r="D77" s="2506" t="s">
        <v>503</v>
      </c>
      <c r="E77" s="2508"/>
      <c r="F77" s="2506"/>
      <c r="G77" s="2509"/>
      <c r="H77" s="2510"/>
      <c r="I77" s="2509"/>
      <c r="J77" s="2526">
        <v>10000</v>
      </c>
      <c r="K77" s="2527">
        <f t="shared" si="3"/>
        <v>0</v>
      </c>
      <c r="L77" s="2487" t="s">
        <v>487</v>
      </c>
    </row>
    <row r="78" s="2430" customFormat="1" spans="2:12">
      <c r="B78" s="2505" t="s">
        <v>487</v>
      </c>
      <c r="C78" s="2505" t="s">
        <v>501</v>
      </c>
      <c r="D78" s="2506" t="s">
        <v>504</v>
      </c>
      <c r="E78" s="2508"/>
      <c r="F78" s="2506"/>
      <c r="G78" s="2509"/>
      <c r="H78" s="2510"/>
      <c r="I78" s="2509"/>
      <c r="J78" s="2526">
        <v>10000</v>
      </c>
      <c r="K78" s="2527">
        <f t="shared" si="3"/>
        <v>0</v>
      </c>
      <c r="L78" s="2487" t="s">
        <v>487</v>
      </c>
    </row>
    <row r="79" s="2430" customFormat="1" spans="2:12">
      <c r="B79" s="2511" t="s">
        <v>505</v>
      </c>
      <c r="C79" s="2511" t="s">
        <v>506</v>
      </c>
      <c r="D79" s="2437" t="s">
        <v>507</v>
      </c>
      <c r="E79" s="2512"/>
      <c r="F79" s="2437"/>
      <c r="G79" s="2513"/>
      <c r="H79" s="2514">
        <v>1</v>
      </c>
      <c r="I79" s="2513"/>
      <c r="J79" s="2528">
        <v>1</v>
      </c>
      <c r="K79" s="2529">
        <f t="shared" si="3"/>
        <v>1</v>
      </c>
      <c r="L79" s="2487" t="s">
        <v>487</v>
      </c>
    </row>
    <row r="80" s="2430" customFormat="1" spans="2:12">
      <c r="B80" s="2511" t="s">
        <v>505</v>
      </c>
      <c r="C80" s="2511" t="s">
        <v>506</v>
      </c>
      <c r="D80" s="2437" t="s">
        <v>508</v>
      </c>
      <c r="E80" s="2512"/>
      <c r="F80" s="2437"/>
      <c r="G80" s="2513"/>
      <c r="H80" s="2514">
        <v>1</v>
      </c>
      <c r="I80" s="2513"/>
      <c r="J80" s="2528">
        <v>1</v>
      </c>
      <c r="K80" s="2529">
        <f t="shared" si="3"/>
        <v>1</v>
      </c>
      <c r="L80" s="2487" t="s">
        <v>487</v>
      </c>
    </row>
    <row r="81" s="2430" customFormat="1" spans="2:12">
      <c r="B81" s="2515" t="s">
        <v>505</v>
      </c>
      <c r="C81" s="2515" t="s">
        <v>509</v>
      </c>
      <c r="D81" s="2516" t="s">
        <v>509</v>
      </c>
      <c r="E81" s="2517"/>
      <c r="F81" s="2516"/>
      <c r="G81" s="2518"/>
      <c r="H81" s="2519"/>
      <c r="I81" s="2518"/>
      <c r="J81" s="2530">
        <v>1</v>
      </c>
      <c r="K81" s="2531">
        <f t="shared" si="3"/>
        <v>0</v>
      </c>
      <c r="L81" s="2487" t="s">
        <v>510</v>
      </c>
    </row>
    <row r="82" s="2430" customFormat="1" spans="2:12">
      <c r="B82" s="2515" t="s">
        <v>505</v>
      </c>
      <c r="C82" s="2515" t="s">
        <v>509</v>
      </c>
      <c r="D82" s="2516" t="s">
        <v>511</v>
      </c>
      <c r="E82" s="2515" t="s">
        <v>512</v>
      </c>
      <c r="F82" s="2516"/>
      <c r="G82" s="2518"/>
      <c r="H82" s="2519">
        <v>0</v>
      </c>
      <c r="I82" s="2518"/>
      <c r="J82" s="2530">
        <v>1</v>
      </c>
      <c r="K82" s="2531">
        <f t="shared" si="3"/>
        <v>0</v>
      </c>
      <c r="L82" s="2487" t="s">
        <v>510</v>
      </c>
    </row>
    <row r="83" s="2430" customFormat="1" spans="2:12">
      <c r="B83" s="2515" t="s">
        <v>505</v>
      </c>
      <c r="C83" s="2515" t="s">
        <v>509</v>
      </c>
      <c r="D83" s="2516" t="s">
        <v>513</v>
      </c>
      <c r="E83" s="2515" t="s">
        <v>514</v>
      </c>
      <c r="F83" s="2516"/>
      <c r="G83" s="2518"/>
      <c r="H83" s="2519">
        <v>0</v>
      </c>
      <c r="I83" s="2518"/>
      <c r="J83" s="2530">
        <v>1</v>
      </c>
      <c r="K83" s="2531">
        <f t="shared" si="3"/>
        <v>0</v>
      </c>
      <c r="L83" s="2487" t="s">
        <v>510</v>
      </c>
    </row>
    <row r="84" s="2430" customFormat="1" spans="2:12">
      <c r="B84" s="2515" t="s">
        <v>505</v>
      </c>
      <c r="C84" s="2515" t="s">
        <v>515</v>
      </c>
      <c r="D84" s="2516" t="s">
        <v>515</v>
      </c>
      <c r="E84" s="2517"/>
      <c r="F84" s="2516"/>
      <c r="G84" s="2518"/>
      <c r="H84" s="2519"/>
      <c r="I84" s="2518"/>
      <c r="J84" s="2530">
        <v>1</v>
      </c>
      <c r="K84" s="2531">
        <f t="shared" si="3"/>
        <v>0</v>
      </c>
      <c r="L84" s="2487" t="s">
        <v>510</v>
      </c>
    </row>
    <row r="85" s="2430" customFormat="1" spans="2:12">
      <c r="B85" s="2515" t="s">
        <v>505</v>
      </c>
      <c r="C85" s="2515" t="s">
        <v>515</v>
      </c>
      <c r="D85" s="2516" t="s">
        <v>516</v>
      </c>
      <c r="E85" s="2515" t="s">
        <v>512</v>
      </c>
      <c r="F85" s="2516"/>
      <c r="G85" s="2518"/>
      <c r="H85" s="2519">
        <v>0</v>
      </c>
      <c r="I85" s="2518"/>
      <c r="J85" s="2530">
        <v>1</v>
      </c>
      <c r="K85" s="2531">
        <f t="shared" si="3"/>
        <v>0</v>
      </c>
      <c r="L85" s="2487" t="s">
        <v>510</v>
      </c>
    </row>
    <row r="86" s="2430" customFormat="1" spans="2:12">
      <c r="B86" s="2515" t="s">
        <v>505</v>
      </c>
      <c r="C86" s="2515" t="s">
        <v>515</v>
      </c>
      <c r="D86" s="2516" t="s">
        <v>517</v>
      </c>
      <c r="E86" s="2515" t="s">
        <v>514</v>
      </c>
      <c r="F86" s="2516"/>
      <c r="G86" s="2518"/>
      <c r="H86" s="2519">
        <v>0</v>
      </c>
      <c r="I86" s="2518"/>
      <c r="J86" s="2530">
        <v>1</v>
      </c>
      <c r="K86" s="2531">
        <f t="shared" si="3"/>
        <v>0</v>
      </c>
      <c r="L86" s="2487" t="s">
        <v>510</v>
      </c>
    </row>
    <row r="87" s="2430" customFormat="1" spans="2:12">
      <c r="B87" s="2515" t="s">
        <v>505</v>
      </c>
      <c r="C87" s="2515" t="s">
        <v>518</v>
      </c>
      <c r="D87" s="2516" t="s">
        <v>519</v>
      </c>
      <c r="E87" s="2517"/>
      <c r="F87" s="2516"/>
      <c r="G87" s="2518"/>
      <c r="H87" s="2519"/>
      <c r="I87" s="2518"/>
      <c r="J87" s="2530">
        <v>1</v>
      </c>
      <c r="K87" s="2531">
        <f t="shared" si="3"/>
        <v>0</v>
      </c>
      <c r="L87" s="2487" t="s">
        <v>510</v>
      </c>
    </row>
    <row r="88" s="2430" customFormat="1" spans="2:12">
      <c r="B88" s="2515" t="s">
        <v>505</v>
      </c>
      <c r="C88" s="2515" t="s">
        <v>518</v>
      </c>
      <c r="D88" s="2516" t="s">
        <v>520</v>
      </c>
      <c r="E88" s="2517"/>
      <c r="F88" s="2516"/>
      <c r="G88" s="2518"/>
      <c r="H88" s="2519"/>
      <c r="I88" s="2518"/>
      <c r="J88" s="2530">
        <v>1</v>
      </c>
      <c r="K88" s="2531">
        <f t="shared" si="3"/>
        <v>0</v>
      </c>
      <c r="L88" s="2487" t="s">
        <v>510</v>
      </c>
    </row>
    <row r="89" s="2430" customFormat="1" spans="2:12">
      <c r="B89" s="2515" t="s">
        <v>505</v>
      </c>
      <c r="C89" s="2515" t="s">
        <v>518</v>
      </c>
      <c r="D89" s="2516" t="s">
        <v>518</v>
      </c>
      <c r="E89" s="2520"/>
      <c r="F89" s="2521" t="s">
        <v>521</v>
      </c>
      <c r="G89" s="2522"/>
      <c r="H89" s="2523">
        <v>1</v>
      </c>
      <c r="I89" s="2518"/>
      <c r="J89" s="2532">
        <v>1</v>
      </c>
      <c r="K89" s="2531">
        <f t="shared" si="3"/>
        <v>1</v>
      </c>
      <c r="L89" s="2487" t="s">
        <v>510</v>
      </c>
    </row>
    <row r="90" s="2430" customFormat="1" spans="2:12">
      <c r="B90" s="2515" t="s">
        <v>505</v>
      </c>
      <c r="C90" s="2515" t="s">
        <v>518</v>
      </c>
      <c r="D90" s="2516" t="s">
        <v>522</v>
      </c>
      <c r="E90" s="2517"/>
      <c r="F90" s="2516"/>
      <c r="G90" s="2518"/>
      <c r="H90" s="2519"/>
      <c r="I90" s="2518"/>
      <c r="J90" s="2530">
        <v>1</v>
      </c>
      <c r="K90" s="2531">
        <f t="shared" si="3"/>
        <v>0</v>
      </c>
      <c r="L90" s="2487" t="s">
        <v>510</v>
      </c>
    </row>
    <row r="91" s="2430" customFormat="1" spans="2:12">
      <c r="B91" s="2515" t="s">
        <v>505</v>
      </c>
      <c r="C91" s="2515" t="s">
        <v>518</v>
      </c>
      <c r="D91" s="2516" t="s">
        <v>523</v>
      </c>
      <c r="E91" s="2517"/>
      <c r="F91" s="2516"/>
      <c r="G91" s="2518"/>
      <c r="H91" s="2519"/>
      <c r="I91" s="2518"/>
      <c r="J91" s="2530">
        <v>1</v>
      </c>
      <c r="K91" s="2531">
        <f t="shared" si="3"/>
        <v>0</v>
      </c>
      <c r="L91" s="2487" t="s">
        <v>510</v>
      </c>
    </row>
    <row r="92" s="2430" customFormat="1" spans="2:12">
      <c r="B92" s="2515" t="s">
        <v>505</v>
      </c>
      <c r="C92" s="2515" t="s">
        <v>518</v>
      </c>
      <c r="D92" s="2516" t="s">
        <v>524</v>
      </c>
      <c r="E92" s="2517"/>
      <c r="F92" s="2516"/>
      <c r="G92" s="2518"/>
      <c r="H92" s="2519"/>
      <c r="I92" s="2518"/>
      <c r="J92" s="2530">
        <v>1</v>
      </c>
      <c r="K92" s="2531">
        <f t="shared" si="3"/>
        <v>0</v>
      </c>
      <c r="L92" s="2487" t="s">
        <v>510</v>
      </c>
    </row>
    <row r="93" s="2430" customFormat="1" spans="2:12">
      <c r="B93" s="2515" t="s">
        <v>505</v>
      </c>
      <c r="C93" s="2515" t="s">
        <v>518</v>
      </c>
      <c r="D93" s="2516" t="s">
        <v>525</v>
      </c>
      <c r="E93" s="2515" t="s">
        <v>512</v>
      </c>
      <c r="F93" s="2516"/>
      <c r="G93" s="2518"/>
      <c r="H93" s="2519">
        <v>0</v>
      </c>
      <c r="I93" s="2518"/>
      <c r="J93" s="2530">
        <v>1</v>
      </c>
      <c r="K93" s="2531">
        <f t="shared" si="3"/>
        <v>0</v>
      </c>
      <c r="L93" s="2487" t="s">
        <v>510</v>
      </c>
    </row>
    <row r="94" s="2430" customFormat="1" spans="2:12">
      <c r="B94" s="2515" t="s">
        <v>505</v>
      </c>
      <c r="C94" s="2515" t="s">
        <v>518</v>
      </c>
      <c r="D94" s="2516" t="s">
        <v>526</v>
      </c>
      <c r="E94" s="2515" t="s">
        <v>514</v>
      </c>
      <c r="F94" s="2516"/>
      <c r="G94" s="2518"/>
      <c r="H94" s="2519">
        <v>0</v>
      </c>
      <c r="I94" s="2518"/>
      <c r="J94" s="2530">
        <v>1</v>
      </c>
      <c r="K94" s="2531">
        <f t="shared" si="3"/>
        <v>0</v>
      </c>
      <c r="L94" s="2487" t="s">
        <v>510</v>
      </c>
    </row>
    <row r="95" s="2430" customFormat="1" spans="2:12">
      <c r="B95" s="2515" t="s">
        <v>505</v>
      </c>
      <c r="C95" s="2515" t="s">
        <v>518</v>
      </c>
      <c r="D95" s="2516" t="s">
        <v>527</v>
      </c>
      <c r="E95" s="2517"/>
      <c r="F95" s="2516"/>
      <c r="G95" s="2518"/>
      <c r="H95" s="2519">
        <v>1</v>
      </c>
      <c r="I95" s="2518"/>
      <c r="J95" s="2530">
        <v>1</v>
      </c>
      <c r="K95" s="2531">
        <f t="shared" si="3"/>
        <v>1</v>
      </c>
      <c r="L95" s="2487" t="s">
        <v>510</v>
      </c>
    </row>
    <row r="96" s="2430" customFormat="1" spans="2:12">
      <c r="B96" s="2515" t="s">
        <v>505</v>
      </c>
      <c r="C96" s="2515" t="s">
        <v>518</v>
      </c>
      <c r="D96" s="2516" t="s">
        <v>528</v>
      </c>
      <c r="E96" s="2515" t="s">
        <v>512</v>
      </c>
      <c r="F96" s="2516"/>
      <c r="G96" s="2518"/>
      <c r="H96" s="2519">
        <v>0</v>
      </c>
      <c r="I96" s="2518"/>
      <c r="J96" s="2530">
        <v>1</v>
      </c>
      <c r="K96" s="2531">
        <f t="shared" si="3"/>
        <v>0</v>
      </c>
      <c r="L96" s="2487" t="s">
        <v>510</v>
      </c>
    </row>
    <row r="97" s="2430" customFormat="1" spans="2:12">
      <c r="B97" s="2515" t="s">
        <v>505</v>
      </c>
      <c r="C97" s="2515" t="s">
        <v>518</v>
      </c>
      <c r="D97" s="2516" t="s">
        <v>529</v>
      </c>
      <c r="E97" s="2515" t="s">
        <v>514</v>
      </c>
      <c r="F97" s="2516"/>
      <c r="G97" s="2518"/>
      <c r="H97" s="2519">
        <v>0</v>
      </c>
      <c r="I97" s="2518"/>
      <c r="J97" s="2530">
        <v>1</v>
      </c>
      <c r="K97" s="2531">
        <f t="shared" si="3"/>
        <v>0</v>
      </c>
      <c r="L97" s="2487" t="s">
        <v>510</v>
      </c>
    </row>
    <row r="98" s="2430" customFormat="1" spans="2:12">
      <c r="B98" s="2515" t="s">
        <v>505</v>
      </c>
      <c r="C98" s="2515" t="s">
        <v>518</v>
      </c>
      <c r="D98" s="2516" t="s">
        <v>530</v>
      </c>
      <c r="E98" s="2517"/>
      <c r="F98" s="2516"/>
      <c r="G98" s="2518"/>
      <c r="H98" s="2519">
        <v>1</v>
      </c>
      <c r="I98" s="2518"/>
      <c r="J98" s="2530">
        <v>1</v>
      </c>
      <c r="K98" s="2531">
        <f t="shared" si="3"/>
        <v>1</v>
      </c>
      <c r="L98" s="2487" t="s">
        <v>510</v>
      </c>
    </row>
    <row r="99" s="2430" customFormat="1" spans="2:12">
      <c r="B99" s="2515" t="s">
        <v>505</v>
      </c>
      <c r="C99" s="2515" t="s">
        <v>518</v>
      </c>
      <c r="D99" s="2516" t="s">
        <v>531</v>
      </c>
      <c r="E99" s="2515" t="s">
        <v>512</v>
      </c>
      <c r="F99" s="2516"/>
      <c r="G99" s="2518"/>
      <c r="H99" s="2519">
        <v>0</v>
      </c>
      <c r="I99" s="2518"/>
      <c r="J99" s="2530">
        <v>1</v>
      </c>
      <c r="K99" s="2531">
        <f t="shared" si="3"/>
        <v>0</v>
      </c>
      <c r="L99" s="2487" t="s">
        <v>510</v>
      </c>
    </row>
    <row r="100" s="2430" customFormat="1" spans="2:12">
      <c r="B100" s="2515" t="s">
        <v>505</v>
      </c>
      <c r="C100" s="2515" t="s">
        <v>518</v>
      </c>
      <c r="D100" s="2516" t="s">
        <v>532</v>
      </c>
      <c r="E100" s="2515" t="s">
        <v>514</v>
      </c>
      <c r="F100" s="2516"/>
      <c r="G100" s="2518"/>
      <c r="H100" s="2519">
        <v>0</v>
      </c>
      <c r="I100" s="2518"/>
      <c r="J100" s="2530">
        <v>1</v>
      </c>
      <c r="K100" s="2531">
        <f t="shared" si="3"/>
        <v>0</v>
      </c>
      <c r="L100" s="2487" t="s">
        <v>510</v>
      </c>
    </row>
    <row r="101" s="2430" customFormat="1" spans="2:12">
      <c r="B101" s="2515" t="s">
        <v>505</v>
      </c>
      <c r="C101" s="2515" t="s">
        <v>518</v>
      </c>
      <c r="D101" s="2516" t="s">
        <v>533</v>
      </c>
      <c r="E101" s="2517"/>
      <c r="F101" s="2516"/>
      <c r="G101" s="2518"/>
      <c r="H101" s="2519">
        <v>1</v>
      </c>
      <c r="I101" s="2518"/>
      <c r="J101" s="2530">
        <v>1</v>
      </c>
      <c r="K101" s="2531">
        <f t="shared" si="3"/>
        <v>1</v>
      </c>
      <c r="L101" s="2487" t="s">
        <v>510</v>
      </c>
    </row>
    <row r="102" s="2430" customFormat="1" spans="2:12">
      <c r="B102" s="2515" t="s">
        <v>505</v>
      </c>
      <c r="C102" s="2515" t="s">
        <v>518</v>
      </c>
      <c r="D102" s="2516" t="s">
        <v>534</v>
      </c>
      <c r="E102" s="2515" t="s">
        <v>512</v>
      </c>
      <c r="F102" s="2516"/>
      <c r="G102" s="2518"/>
      <c r="H102" s="2519">
        <v>0</v>
      </c>
      <c r="I102" s="2518"/>
      <c r="J102" s="2530">
        <v>1</v>
      </c>
      <c r="K102" s="2531">
        <f t="shared" si="3"/>
        <v>0</v>
      </c>
      <c r="L102" s="2487" t="s">
        <v>510</v>
      </c>
    </row>
    <row r="103" s="2430" customFormat="1" spans="2:12">
      <c r="B103" s="2515" t="s">
        <v>505</v>
      </c>
      <c r="C103" s="2515" t="s">
        <v>518</v>
      </c>
      <c r="D103" s="2516" t="s">
        <v>535</v>
      </c>
      <c r="E103" s="2515" t="s">
        <v>514</v>
      </c>
      <c r="F103" s="2516"/>
      <c r="G103" s="2518"/>
      <c r="H103" s="2519">
        <v>0</v>
      </c>
      <c r="I103" s="2518"/>
      <c r="J103" s="2530">
        <v>1</v>
      </c>
      <c r="K103" s="2531">
        <f t="shared" si="3"/>
        <v>0</v>
      </c>
      <c r="L103" s="2487" t="s">
        <v>510</v>
      </c>
    </row>
    <row r="104" s="2430" customFormat="1" spans="2:12">
      <c r="B104" s="2515" t="s">
        <v>505</v>
      </c>
      <c r="C104" s="2515" t="s">
        <v>518</v>
      </c>
      <c r="D104" s="2516" t="s">
        <v>536</v>
      </c>
      <c r="E104" s="2517"/>
      <c r="F104" s="2518"/>
      <c r="G104" s="2518"/>
      <c r="H104" s="2519">
        <v>1</v>
      </c>
      <c r="I104" s="2518"/>
      <c r="J104" s="2530">
        <v>1</v>
      </c>
      <c r="K104" s="2531">
        <f t="shared" si="3"/>
        <v>1</v>
      </c>
      <c r="L104" s="2487" t="s">
        <v>510</v>
      </c>
    </row>
    <row r="105" s="2430" customFormat="1" spans="2:12">
      <c r="B105" s="2515" t="s">
        <v>505</v>
      </c>
      <c r="C105" s="2515" t="s">
        <v>518</v>
      </c>
      <c r="D105" s="2516" t="s">
        <v>537</v>
      </c>
      <c r="E105" s="2515" t="s">
        <v>512</v>
      </c>
      <c r="F105" s="2516"/>
      <c r="G105" s="2518"/>
      <c r="H105" s="2519">
        <v>0</v>
      </c>
      <c r="I105" s="2518"/>
      <c r="J105" s="2530">
        <v>1</v>
      </c>
      <c r="K105" s="2531">
        <f t="shared" si="3"/>
        <v>0</v>
      </c>
      <c r="L105" s="2487" t="s">
        <v>510</v>
      </c>
    </row>
    <row r="106" s="2430" customFormat="1" spans="2:12">
      <c r="B106" s="2515" t="s">
        <v>505</v>
      </c>
      <c r="C106" s="2515" t="s">
        <v>518</v>
      </c>
      <c r="D106" s="2516" t="s">
        <v>538</v>
      </c>
      <c r="E106" s="2515" t="s">
        <v>514</v>
      </c>
      <c r="F106" s="2516"/>
      <c r="G106" s="2518"/>
      <c r="H106" s="2519">
        <v>0</v>
      </c>
      <c r="I106" s="2518"/>
      <c r="J106" s="2530">
        <v>1</v>
      </c>
      <c r="K106" s="2531">
        <f t="shared" si="3"/>
        <v>0</v>
      </c>
      <c r="L106" s="2487" t="s">
        <v>510</v>
      </c>
    </row>
    <row r="107" s="2430" customFormat="1" spans="2:12">
      <c r="B107" s="2515" t="s">
        <v>505</v>
      </c>
      <c r="C107" s="2515" t="s">
        <v>518</v>
      </c>
      <c r="D107" s="2516" t="s">
        <v>539</v>
      </c>
      <c r="E107" s="2517"/>
      <c r="F107" s="2518"/>
      <c r="G107" s="2518"/>
      <c r="H107" s="2519">
        <v>1</v>
      </c>
      <c r="I107" s="2518"/>
      <c r="J107" s="2530">
        <v>1</v>
      </c>
      <c r="K107" s="2531">
        <f t="shared" si="3"/>
        <v>1</v>
      </c>
      <c r="L107" s="2487" t="s">
        <v>510</v>
      </c>
    </row>
    <row r="108" s="2430" customFormat="1" spans="2:12">
      <c r="B108" s="2515" t="s">
        <v>505</v>
      </c>
      <c r="C108" s="2515" t="s">
        <v>518</v>
      </c>
      <c r="D108" s="2516" t="s">
        <v>540</v>
      </c>
      <c r="E108" s="2515" t="s">
        <v>512</v>
      </c>
      <c r="F108" s="2516"/>
      <c r="G108" s="2518"/>
      <c r="H108" s="2519">
        <v>0</v>
      </c>
      <c r="I108" s="2518"/>
      <c r="J108" s="2530">
        <v>1</v>
      </c>
      <c r="K108" s="2531">
        <f t="shared" si="3"/>
        <v>0</v>
      </c>
      <c r="L108" s="2487" t="s">
        <v>510</v>
      </c>
    </row>
    <row r="109" s="2430" customFormat="1" spans="2:12">
      <c r="B109" s="2515" t="s">
        <v>505</v>
      </c>
      <c r="C109" s="2515" t="s">
        <v>518</v>
      </c>
      <c r="D109" s="2516" t="s">
        <v>541</v>
      </c>
      <c r="E109" s="2515" t="s">
        <v>514</v>
      </c>
      <c r="F109" s="2516"/>
      <c r="G109" s="2518"/>
      <c r="H109" s="2519">
        <v>0</v>
      </c>
      <c r="I109" s="2518"/>
      <c r="J109" s="2530">
        <v>1</v>
      </c>
      <c r="K109" s="2531">
        <f t="shared" si="3"/>
        <v>0</v>
      </c>
      <c r="L109" s="2487" t="s">
        <v>510</v>
      </c>
    </row>
    <row r="110" s="2430" customFormat="1" spans="2:12">
      <c r="B110" s="2515" t="s">
        <v>505</v>
      </c>
      <c r="C110" s="2515" t="s">
        <v>518</v>
      </c>
      <c r="D110" s="2516" t="s">
        <v>542</v>
      </c>
      <c r="E110" s="2517"/>
      <c r="F110" s="2516"/>
      <c r="G110" s="2518"/>
      <c r="H110" s="2519">
        <v>1</v>
      </c>
      <c r="I110" s="2518"/>
      <c r="J110" s="2530">
        <v>1</v>
      </c>
      <c r="K110" s="2531">
        <f t="shared" si="3"/>
        <v>1</v>
      </c>
      <c r="L110" s="2487" t="s">
        <v>510</v>
      </c>
    </row>
    <row r="111" s="2430" customFormat="1" spans="2:12">
      <c r="B111" s="2515" t="s">
        <v>505</v>
      </c>
      <c r="C111" s="2515" t="s">
        <v>518</v>
      </c>
      <c r="D111" s="2516" t="s">
        <v>543</v>
      </c>
      <c r="E111" s="2515" t="s">
        <v>512</v>
      </c>
      <c r="F111" s="2516"/>
      <c r="G111" s="2518"/>
      <c r="H111" s="2519">
        <v>0</v>
      </c>
      <c r="I111" s="2518"/>
      <c r="J111" s="2530">
        <v>1</v>
      </c>
      <c r="K111" s="2531">
        <f t="shared" si="3"/>
        <v>0</v>
      </c>
      <c r="L111" s="2487" t="s">
        <v>510</v>
      </c>
    </row>
    <row r="112" s="2430" customFormat="1" spans="2:12">
      <c r="B112" s="2515" t="s">
        <v>505</v>
      </c>
      <c r="C112" s="2515" t="s">
        <v>518</v>
      </c>
      <c r="D112" s="2516" t="s">
        <v>544</v>
      </c>
      <c r="E112" s="2515" t="s">
        <v>514</v>
      </c>
      <c r="F112" s="2516"/>
      <c r="G112" s="2518"/>
      <c r="H112" s="2519">
        <v>0</v>
      </c>
      <c r="I112" s="2518"/>
      <c r="J112" s="2530">
        <v>1</v>
      </c>
      <c r="K112" s="2531">
        <f t="shared" si="3"/>
        <v>0</v>
      </c>
      <c r="L112" s="2487" t="s">
        <v>510</v>
      </c>
    </row>
    <row r="113" s="2430" customFormat="1" spans="2:12">
      <c r="B113" s="2515" t="s">
        <v>505</v>
      </c>
      <c r="C113" s="2515" t="s">
        <v>518</v>
      </c>
      <c r="D113" s="2516" t="s">
        <v>545</v>
      </c>
      <c r="E113" s="2517"/>
      <c r="F113" s="2516"/>
      <c r="G113" s="2518"/>
      <c r="H113" s="2519"/>
      <c r="I113" s="2518"/>
      <c r="J113" s="2530">
        <v>1</v>
      </c>
      <c r="K113" s="2531">
        <f t="shared" si="3"/>
        <v>0</v>
      </c>
      <c r="L113" s="2487" t="s">
        <v>510</v>
      </c>
    </row>
    <row r="114" s="2430" customFormat="1" spans="2:12">
      <c r="B114" s="2515" t="s">
        <v>505</v>
      </c>
      <c r="C114" s="2515" t="s">
        <v>518</v>
      </c>
      <c r="D114" s="2516" t="s">
        <v>546</v>
      </c>
      <c r="E114" s="2515" t="s">
        <v>512</v>
      </c>
      <c r="F114" s="2516"/>
      <c r="G114" s="2518"/>
      <c r="H114" s="2519">
        <v>0</v>
      </c>
      <c r="I114" s="2518"/>
      <c r="J114" s="2530">
        <v>1</v>
      </c>
      <c r="K114" s="2531">
        <f t="shared" si="3"/>
        <v>0</v>
      </c>
      <c r="L114" s="2487" t="s">
        <v>510</v>
      </c>
    </row>
    <row r="115" s="2430" customFormat="1" spans="2:12">
      <c r="B115" s="2515" t="s">
        <v>505</v>
      </c>
      <c r="C115" s="2515" t="s">
        <v>518</v>
      </c>
      <c r="D115" s="2516" t="s">
        <v>547</v>
      </c>
      <c r="E115" s="2515" t="s">
        <v>514</v>
      </c>
      <c r="F115" s="2516"/>
      <c r="G115" s="2518"/>
      <c r="H115" s="2519">
        <v>0</v>
      </c>
      <c r="I115" s="2518"/>
      <c r="J115" s="2530">
        <v>1</v>
      </c>
      <c r="K115" s="2531">
        <f t="shared" si="3"/>
        <v>0</v>
      </c>
      <c r="L115" s="2487" t="s">
        <v>510</v>
      </c>
    </row>
    <row r="116" s="2430" customFormat="1" spans="2:12">
      <c r="B116" s="2515" t="s">
        <v>505</v>
      </c>
      <c r="C116" s="2515" t="s">
        <v>518</v>
      </c>
      <c r="D116" s="2516" t="s">
        <v>548</v>
      </c>
      <c r="E116" s="2517"/>
      <c r="F116" s="2516"/>
      <c r="G116" s="2518"/>
      <c r="H116" s="2519"/>
      <c r="I116" s="2518"/>
      <c r="J116" s="2530">
        <v>1</v>
      </c>
      <c r="K116" s="2531">
        <f t="shared" si="3"/>
        <v>0</v>
      </c>
      <c r="L116" s="2487" t="s">
        <v>510</v>
      </c>
    </row>
    <row r="117" s="2430" customFormat="1" spans="2:12">
      <c r="B117" s="2515" t="s">
        <v>505</v>
      </c>
      <c r="C117" s="2515" t="s">
        <v>518</v>
      </c>
      <c r="D117" s="2516" t="s">
        <v>549</v>
      </c>
      <c r="E117" s="2515" t="s">
        <v>512</v>
      </c>
      <c r="F117" s="2516"/>
      <c r="G117" s="2518"/>
      <c r="H117" s="2519">
        <v>0</v>
      </c>
      <c r="I117" s="2518"/>
      <c r="J117" s="2530">
        <v>1</v>
      </c>
      <c r="K117" s="2531">
        <f t="shared" si="3"/>
        <v>0</v>
      </c>
      <c r="L117" s="2487" t="s">
        <v>510</v>
      </c>
    </row>
    <row r="118" s="2430" customFormat="1" spans="2:12">
      <c r="B118" s="2515" t="s">
        <v>505</v>
      </c>
      <c r="C118" s="2515" t="s">
        <v>518</v>
      </c>
      <c r="D118" s="2516" t="s">
        <v>550</v>
      </c>
      <c r="E118" s="2515" t="s">
        <v>514</v>
      </c>
      <c r="F118" s="2516"/>
      <c r="G118" s="2518"/>
      <c r="H118" s="2519">
        <v>0</v>
      </c>
      <c r="I118" s="2518"/>
      <c r="J118" s="2530">
        <v>1</v>
      </c>
      <c r="K118" s="2531">
        <f t="shared" si="3"/>
        <v>0</v>
      </c>
      <c r="L118" s="2487" t="s">
        <v>510</v>
      </c>
    </row>
    <row r="119" s="2430" customFormat="1" spans="2:12">
      <c r="B119" s="2515" t="s">
        <v>505</v>
      </c>
      <c r="C119" s="2515" t="s">
        <v>518</v>
      </c>
      <c r="D119" s="2516" t="s">
        <v>551</v>
      </c>
      <c r="E119" s="2517"/>
      <c r="F119" s="2516"/>
      <c r="G119" s="2518"/>
      <c r="H119" s="2519"/>
      <c r="I119" s="2518"/>
      <c r="J119" s="2530">
        <v>1</v>
      </c>
      <c r="K119" s="2531">
        <f t="shared" si="3"/>
        <v>0</v>
      </c>
      <c r="L119" s="2487" t="s">
        <v>510</v>
      </c>
    </row>
    <row r="120" s="2430" customFormat="1" spans="2:12">
      <c r="B120" s="2515" t="s">
        <v>505</v>
      </c>
      <c r="C120" s="2515" t="s">
        <v>518</v>
      </c>
      <c r="D120" s="2516" t="s">
        <v>552</v>
      </c>
      <c r="E120" s="2515" t="s">
        <v>512</v>
      </c>
      <c r="F120" s="2516"/>
      <c r="G120" s="2518"/>
      <c r="H120" s="2519">
        <v>0</v>
      </c>
      <c r="I120" s="2518"/>
      <c r="J120" s="2530">
        <v>1</v>
      </c>
      <c r="K120" s="2531">
        <f t="shared" si="3"/>
        <v>0</v>
      </c>
      <c r="L120" s="2487" t="s">
        <v>510</v>
      </c>
    </row>
    <row r="121" s="2430" customFormat="1" spans="2:12">
      <c r="B121" s="2515" t="s">
        <v>505</v>
      </c>
      <c r="C121" s="2515" t="s">
        <v>518</v>
      </c>
      <c r="D121" s="2516" t="s">
        <v>553</v>
      </c>
      <c r="E121" s="2515" t="s">
        <v>514</v>
      </c>
      <c r="F121" s="2516"/>
      <c r="G121" s="2518"/>
      <c r="H121" s="2519">
        <v>0</v>
      </c>
      <c r="I121" s="2518"/>
      <c r="J121" s="2530">
        <v>1</v>
      </c>
      <c r="K121" s="2531">
        <f t="shared" si="3"/>
        <v>0</v>
      </c>
      <c r="L121" s="2487" t="s">
        <v>510</v>
      </c>
    </row>
    <row r="122" s="2430" customFormat="1" spans="2:12">
      <c r="B122" s="2515" t="s">
        <v>505</v>
      </c>
      <c r="C122" s="2515" t="s">
        <v>518</v>
      </c>
      <c r="D122" s="2516" t="s">
        <v>554</v>
      </c>
      <c r="E122" s="2517"/>
      <c r="F122" s="2516"/>
      <c r="G122" s="2518"/>
      <c r="H122" s="2519">
        <v>1</v>
      </c>
      <c r="I122" s="2518"/>
      <c r="J122" s="2530">
        <v>1</v>
      </c>
      <c r="K122" s="2531">
        <f t="shared" si="3"/>
        <v>1</v>
      </c>
      <c r="L122" s="2487" t="s">
        <v>510</v>
      </c>
    </row>
    <row r="123" s="2430" customFormat="1" spans="2:12">
      <c r="B123" s="2515" t="s">
        <v>505</v>
      </c>
      <c r="C123" s="2515" t="s">
        <v>518</v>
      </c>
      <c r="D123" s="2516" t="s">
        <v>555</v>
      </c>
      <c r="E123" s="2515" t="s">
        <v>512</v>
      </c>
      <c r="F123" s="2516"/>
      <c r="G123" s="2518"/>
      <c r="H123" s="2519">
        <v>0</v>
      </c>
      <c r="I123" s="2518"/>
      <c r="J123" s="2530">
        <v>1</v>
      </c>
      <c r="K123" s="2531">
        <f t="shared" si="3"/>
        <v>0</v>
      </c>
      <c r="L123" s="2487" t="s">
        <v>510</v>
      </c>
    </row>
    <row r="124" s="2430" customFormat="1" spans="2:12">
      <c r="B124" s="2515" t="s">
        <v>505</v>
      </c>
      <c r="C124" s="2515" t="s">
        <v>518</v>
      </c>
      <c r="D124" s="2516" t="s">
        <v>556</v>
      </c>
      <c r="E124" s="2515" t="s">
        <v>514</v>
      </c>
      <c r="F124" s="2516"/>
      <c r="G124" s="2518"/>
      <c r="H124" s="2519">
        <v>0</v>
      </c>
      <c r="I124" s="2518"/>
      <c r="J124" s="2530">
        <v>1</v>
      </c>
      <c r="K124" s="2531">
        <f t="shared" si="3"/>
        <v>0</v>
      </c>
      <c r="L124" s="2487" t="s">
        <v>510</v>
      </c>
    </row>
    <row r="125" s="2430" customFormat="1" spans="2:12">
      <c r="B125" s="2515" t="s">
        <v>505</v>
      </c>
      <c r="C125" s="2515" t="s">
        <v>518</v>
      </c>
      <c r="D125" s="2516" t="s">
        <v>557</v>
      </c>
      <c r="E125" s="2517"/>
      <c r="F125" s="2516"/>
      <c r="G125" s="2518"/>
      <c r="H125" s="2519">
        <v>1</v>
      </c>
      <c r="I125" s="2518"/>
      <c r="J125" s="2530">
        <v>1</v>
      </c>
      <c r="K125" s="2531">
        <f t="shared" si="3"/>
        <v>1</v>
      </c>
      <c r="L125" s="2487" t="s">
        <v>510</v>
      </c>
    </row>
    <row r="126" s="2430" customFormat="1" spans="2:12">
      <c r="B126" s="2515" t="s">
        <v>505</v>
      </c>
      <c r="C126" s="2515" t="s">
        <v>518</v>
      </c>
      <c r="D126" s="2516" t="s">
        <v>558</v>
      </c>
      <c r="E126" s="2515" t="s">
        <v>512</v>
      </c>
      <c r="F126" s="2516"/>
      <c r="G126" s="2518"/>
      <c r="H126" s="2519">
        <v>0</v>
      </c>
      <c r="I126" s="2518"/>
      <c r="J126" s="2530">
        <v>1</v>
      </c>
      <c r="K126" s="2531">
        <f t="shared" si="3"/>
        <v>0</v>
      </c>
      <c r="L126" s="2487" t="s">
        <v>510</v>
      </c>
    </row>
    <row r="127" s="2430" customFormat="1" spans="2:12">
      <c r="B127" s="2515" t="s">
        <v>505</v>
      </c>
      <c r="C127" s="2515" t="s">
        <v>518</v>
      </c>
      <c r="D127" s="2516" t="s">
        <v>559</v>
      </c>
      <c r="E127" s="2515" t="s">
        <v>514</v>
      </c>
      <c r="F127" s="2516"/>
      <c r="G127" s="2518"/>
      <c r="H127" s="2519">
        <v>0</v>
      </c>
      <c r="I127" s="2518"/>
      <c r="J127" s="2530">
        <v>1</v>
      </c>
      <c r="K127" s="2531">
        <f t="shared" si="3"/>
        <v>0</v>
      </c>
      <c r="L127" s="2487" t="s">
        <v>510</v>
      </c>
    </row>
    <row r="128" s="2430" customFormat="1" spans="2:12">
      <c r="B128" s="2515" t="s">
        <v>505</v>
      </c>
      <c r="C128" s="2515" t="s">
        <v>518</v>
      </c>
      <c r="D128" s="2516" t="s">
        <v>560</v>
      </c>
      <c r="E128" s="2517"/>
      <c r="F128" s="2516"/>
      <c r="G128" s="2518"/>
      <c r="H128" s="2519">
        <v>1</v>
      </c>
      <c r="I128" s="2518"/>
      <c r="J128" s="2530">
        <v>1</v>
      </c>
      <c r="K128" s="2531">
        <f t="shared" si="3"/>
        <v>1</v>
      </c>
      <c r="L128" s="2487" t="s">
        <v>510</v>
      </c>
    </row>
    <row r="129" s="2430" customFormat="1" spans="2:12">
      <c r="B129" s="2515" t="s">
        <v>505</v>
      </c>
      <c r="C129" s="2515" t="s">
        <v>518</v>
      </c>
      <c r="D129" s="2516" t="s">
        <v>561</v>
      </c>
      <c r="E129" s="2515" t="s">
        <v>512</v>
      </c>
      <c r="F129" s="2516"/>
      <c r="G129" s="2518"/>
      <c r="H129" s="2519">
        <v>0</v>
      </c>
      <c r="I129" s="2518"/>
      <c r="J129" s="2530">
        <v>1</v>
      </c>
      <c r="K129" s="2531">
        <f t="shared" si="3"/>
        <v>0</v>
      </c>
      <c r="L129" s="2487" t="s">
        <v>510</v>
      </c>
    </row>
    <row r="130" s="2430" customFormat="1" spans="2:12">
      <c r="B130" s="2515" t="s">
        <v>505</v>
      </c>
      <c r="C130" s="2515" t="s">
        <v>518</v>
      </c>
      <c r="D130" s="2516" t="s">
        <v>562</v>
      </c>
      <c r="E130" s="2515" t="s">
        <v>514</v>
      </c>
      <c r="F130" s="2516"/>
      <c r="G130" s="2518"/>
      <c r="H130" s="2519">
        <v>0</v>
      </c>
      <c r="I130" s="2518"/>
      <c r="J130" s="2530">
        <v>1</v>
      </c>
      <c r="K130" s="2531">
        <f t="shared" si="3"/>
        <v>0</v>
      </c>
      <c r="L130" s="2487" t="s">
        <v>510</v>
      </c>
    </row>
    <row r="131" s="2430" customFormat="1" spans="2:12">
      <c r="B131" s="2515" t="s">
        <v>505</v>
      </c>
      <c r="C131" s="2515" t="s">
        <v>518</v>
      </c>
      <c r="D131" s="2516" t="s">
        <v>563</v>
      </c>
      <c r="E131" s="2517"/>
      <c r="F131" s="2516"/>
      <c r="G131" s="2518"/>
      <c r="H131" s="2519"/>
      <c r="I131" s="2518"/>
      <c r="J131" s="2530">
        <v>1</v>
      </c>
      <c r="K131" s="2531">
        <f t="shared" si="3"/>
        <v>0</v>
      </c>
      <c r="L131" s="2487" t="s">
        <v>510</v>
      </c>
    </row>
    <row r="132" s="2430" customFormat="1" spans="2:12">
      <c r="B132" s="2515" t="s">
        <v>505</v>
      </c>
      <c r="C132" s="2515" t="s">
        <v>518</v>
      </c>
      <c r="D132" s="2516" t="s">
        <v>564</v>
      </c>
      <c r="E132" s="2515" t="s">
        <v>512</v>
      </c>
      <c r="F132" s="2516"/>
      <c r="G132" s="2518"/>
      <c r="H132" s="2519">
        <v>0</v>
      </c>
      <c r="I132" s="2518"/>
      <c r="J132" s="2530">
        <v>1</v>
      </c>
      <c r="K132" s="2531">
        <f t="shared" si="3"/>
        <v>0</v>
      </c>
      <c r="L132" s="2487" t="s">
        <v>510</v>
      </c>
    </row>
    <row r="133" s="2430" customFormat="1" spans="2:12">
      <c r="B133" s="2515" t="s">
        <v>505</v>
      </c>
      <c r="C133" s="2515" t="s">
        <v>518</v>
      </c>
      <c r="D133" s="2516" t="s">
        <v>565</v>
      </c>
      <c r="E133" s="2515" t="s">
        <v>514</v>
      </c>
      <c r="F133" s="2516"/>
      <c r="G133" s="2518"/>
      <c r="H133" s="2519">
        <v>0</v>
      </c>
      <c r="I133" s="2518"/>
      <c r="J133" s="2530">
        <v>1</v>
      </c>
      <c r="K133" s="2531">
        <f t="shared" si="3"/>
        <v>0</v>
      </c>
      <c r="L133" s="2487" t="s">
        <v>510</v>
      </c>
    </row>
    <row r="134" s="2430" customFormat="1" spans="2:12">
      <c r="B134" s="2515" t="s">
        <v>505</v>
      </c>
      <c r="C134" s="2515" t="s">
        <v>518</v>
      </c>
      <c r="D134" s="2516" t="s">
        <v>566</v>
      </c>
      <c r="E134" s="2517"/>
      <c r="F134" s="2516"/>
      <c r="G134" s="2518" t="s">
        <v>567</v>
      </c>
      <c r="H134" s="2519"/>
      <c r="I134" s="2518"/>
      <c r="J134" s="2530">
        <v>1</v>
      </c>
      <c r="K134" s="2531">
        <f t="shared" si="3"/>
        <v>0</v>
      </c>
      <c r="L134" s="2487" t="s">
        <v>510</v>
      </c>
    </row>
    <row r="135" s="2430" customFormat="1" spans="2:12">
      <c r="B135" s="2515" t="s">
        <v>505</v>
      </c>
      <c r="C135" s="2515" t="s">
        <v>518</v>
      </c>
      <c r="D135" s="2516" t="s">
        <v>568</v>
      </c>
      <c r="E135" s="2517"/>
      <c r="F135" s="2516"/>
      <c r="G135" s="2518" t="s">
        <v>567</v>
      </c>
      <c r="H135" s="2519"/>
      <c r="I135" s="2518"/>
      <c r="J135" s="2530">
        <v>1</v>
      </c>
      <c r="K135" s="2531">
        <f t="shared" si="3"/>
        <v>0</v>
      </c>
      <c r="L135" s="2487" t="s">
        <v>510</v>
      </c>
    </row>
    <row r="136" s="2430" customFormat="1" spans="2:12">
      <c r="B136" s="2515" t="s">
        <v>505</v>
      </c>
      <c r="C136" s="2515" t="s">
        <v>518</v>
      </c>
      <c r="D136" s="2516" t="s">
        <v>569</v>
      </c>
      <c r="E136" s="2517"/>
      <c r="F136" s="2516"/>
      <c r="G136" s="2518" t="s">
        <v>567</v>
      </c>
      <c r="H136" s="2519"/>
      <c r="I136" s="2518"/>
      <c r="J136" s="2530">
        <v>1</v>
      </c>
      <c r="K136" s="2531">
        <f t="shared" si="3"/>
        <v>0</v>
      </c>
      <c r="L136" s="2487" t="s">
        <v>510</v>
      </c>
    </row>
    <row r="137" s="2430" customFormat="1" spans="2:12">
      <c r="B137" s="2515" t="s">
        <v>505</v>
      </c>
      <c r="C137" s="2515" t="s">
        <v>518</v>
      </c>
      <c r="D137" s="2516" t="s">
        <v>570</v>
      </c>
      <c r="E137" s="2517"/>
      <c r="F137" s="2516"/>
      <c r="G137" s="2518" t="s">
        <v>567</v>
      </c>
      <c r="H137" s="2519"/>
      <c r="I137" s="2518"/>
      <c r="J137" s="2530">
        <v>1</v>
      </c>
      <c r="K137" s="2531">
        <f t="shared" ref="K137:K145" si="4">H137/J137</f>
        <v>0</v>
      </c>
      <c r="L137" s="2487" t="s">
        <v>510</v>
      </c>
    </row>
    <row r="138" s="2430" customFormat="1" spans="2:12">
      <c r="B138" s="2515" t="s">
        <v>505</v>
      </c>
      <c r="C138" s="2515" t="s">
        <v>518</v>
      </c>
      <c r="D138" s="2516" t="s">
        <v>571</v>
      </c>
      <c r="E138" s="2517"/>
      <c r="F138" s="2516"/>
      <c r="G138" s="2518" t="s">
        <v>567</v>
      </c>
      <c r="H138" s="2519"/>
      <c r="I138" s="2518"/>
      <c r="J138" s="2530">
        <v>1</v>
      </c>
      <c r="K138" s="2531">
        <f t="shared" si="4"/>
        <v>0</v>
      </c>
      <c r="L138" s="2487" t="s">
        <v>510</v>
      </c>
    </row>
    <row r="139" s="2430" customFormat="1" spans="2:12">
      <c r="B139" s="2515" t="s">
        <v>505</v>
      </c>
      <c r="C139" s="2515" t="s">
        <v>518</v>
      </c>
      <c r="D139" s="2516" t="s">
        <v>572</v>
      </c>
      <c r="E139" s="2517"/>
      <c r="F139" s="2516"/>
      <c r="G139" s="2518" t="s">
        <v>567</v>
      </c>
      <c r="H139" s="2519"/>
      <c r="I139" s="2518"/>
      <c r="J139" s="2530">
        <v>1</v>
      </c>
      <c r="K139" s="2531">
        <f t="shared" si="4"/>
        <v>0</v>
      </c>
      <c r="L139" s="2487" t="s">
        <v>510</v>
      </c>
    </row>
    <row r="140" s="2430" customFormat="1" spans="2:12">
      <c r="B140" s="2515" t="s">
        <v>505</v>
      </c>
      <c r="C140" s="2515" t="s">
        <v>518</v>
      </c>
      <c r="D140" s="2516" t="s">
        <v>573</v>
      </c>
      <c r="E140" s="2517"/>
      <c r="F140" s="2516"/>
      <c r="G140" s="2518" t="s">
        <v>567</v>
      </c>
      <c r="H140" s="2519"/>
      <c r="I140" s="2518"/>
      <c r="J140" s="2530">
        <v>1</v>
      </c>
      <c r="K140" s="2531">
        <f t="shared" si="4"/>
        <v>0</v>
      </c>
      <c r="L140" s="2487" t="s">
        <v>510</v>
      </c>
    </row>
    <row r="141" s="2430" customFormat="1" spans="2:12">
      <c r="B141" s="2515" t="s">
        <v>505</v>
      </c>
      <c r="C141" s="2515" t="s">
        <v>518</v>
      </c>
      <c r="D141" s="2516" t="s">
        <v>574</v>
      </c>
      <c r="E141" s="2517"/>
      <c r="F141" s="2516"/>
      <c r="G141" s="2518" t="s">
        <v>567</v>
      </c>
      <c r="H141" s="2519"/>
      <c r="I141" s="2518"/>
      <c r="J141" s="2530">
        <v>1</v>
      </c>
      <c r="K141" s="2531">
        <f t="shared" si="4"/>
        <v>0</v>
      </c>
      <c r="L141" s="2487" t="s">
        <v>510</v>
      </c>
    </row>
    <row r="142" s="2430" customFormat="1" spans="2:12">
      <c r="B142" s="2515" t="s">
        <v>505</v>
      </c>
      <c r="C142" s="2515" t="s">
        <v>518</v>
      </c>
      <c r="D142" s="2516" t="s">
        <v>575</v>
      </c>
      <c r="E142" s="2517"/>
      <c r="F142" s="2516"/>
      <c r="G142" s="2518" t="s">
        <v>567</v>
      </c>
      <c r="H142" s="2519"/>
      <c r="I142" s="2518"/>
      <c r="J142" s="2530">
        <v>1</v>
      </c>
      <c r="K142" s="2531">
        <f t="shared" si="4"/>
        <v>0</v>
      </c>
      <c r="L142" s="2487" t="s">
        <v>510</v>
      </c>
    </row>
    <row r="143" s="2430" customFormat="1" spans="2:12">
      <c r="B143" s="2515" t="s">
        <v>505</v>
      </c>
      <c r="C143" s="2515" t="s">
        <v>518</v>
      </c>
      <c r="D143" s="2516" t="s">
        <v>420</v>
      </c>
      <c r="E143" s="2517"/>
      <c r="F143" s="2516"/>
      <c r="G143" s="2518" t="s">
        <v>576</v>
      </c>
      <c r="H143" s="2519"/>
      <c r="I143" s="2518"/>
      <c r="J143" s="2530">
        <v>1</v>
      </c>
      <c r="K143" s="2531">
        <f t="shared" si="4"/>
        <v>0</v>
      </c>
      <c r="L143" s="2487" t="s">
        <v>510</v>
      </c>
    </row>
    <row r="144" s="2430" customFormat="1" spans="2:12">
      <c r="B144" s="2515" t="s">
        <v>505</v>
      </c>
      <c r="C144" s="2515" t="s">
        <v>518</v>
      </c>
      <c r="D144" s="2516" t="s">
        <v>577</v>
      </c>
      <c r="E144" s="2517"/>
      <c r="F144" s="2516"/>
      <c r="G144" s="2518" t="s">
        <v>578</v>
      </c>
      <c r="H144" s="2519">
        <v>1</v>
      </c>
      <c r="I144" s="2518"/>
      <c r="J144" s="2530">
        <v>1</v>
      </c>
      <c r="K144" s="2531">
        <f t="shared" si="4"/>
        <v>1</v>
      </c>
      <c r="L144" s="2487" t="s">
        <v>510</v>
      </c>
    </row>
    <row r="145" s="2430" customFormat="1" spans="2:12">
      <c r="B145" s="2515" t="s">
        <v>505</v>
      </c>
      <c r="C145" s="2515" t="s">
        <v>501</v>
      </c>
      <c r="D145" s="2516" t="s">
        <v>579</v>
      </c>
      <c r="E145" s="2517"/>
      <c r="F145" s="2516"/>
      <c r="G145" s="2518"/>
      <c r="H145" s="2519"/>
      <c r="I145" s="2518"/>
      <c r="J145" s="2530">
        <v>1</v>
      </c>
      <c r="K145" s="2531">
        <f t="shared" si="4"/>
        <v>0</v>
      </c>
      <c r="L145" s="2487" t="s">
        <v>510</v>
      </c>
    </row>
    <row r="146" spans="2:13">
      <c r="B146" s="2533" t="s">
        <v>505</v>
      </c>
      <c r="C146" s="2533" t="s">
        <v>580</v>
      </c>
      <c r="D146" s="2534" t="s">
        <v>580</v>
      </c>
      <c r="E146" s="2535"/>
      <c r="F146" s="2534" t="s">
        <v>521</v>
      </c>
      <c r="G146" s="2536" t="s">
        <v>581</v>
      </c>
      <c r="H146" s="2537">
        <v>1</v>
      </c>
      <c r="I146" s="2541"/>
      <c r="J146" s="2544">
        <v>1</v>
      </c>
      <c r="K146" s="2545">
        <f t="shared" ref="K146:K163" si="5">H146/J146</f>
        <v>1</v>
      </c>
      <c r="L146" s="2487" t="s">
        <v>582</v>
      </c>
      <c r="M146" s="2431" t="s">
        <v>648</v>
      </c>
    </row>
    <row r="147" ht="26.4" spans="2:13">
      <c r="B147" s="2538" t="s">
        <v>505</v>
      </c>
      <c r="C147" s="2538" t="s">
        <v>634</v>
      </c>
      <c r="D147" s="2539" t="s">
        <v>649</v>
      </c>
      <c r="E147" s="2540"/>
      <c r="F147" s="2539"/>
      <c r="G147" s="2541" t="str">
        <f>VLOOKUP(亮度與BLU功耗!E10,LED選型!B3:M67,11,FALSE)&amp;"，"&amp;亮度與BLU功耗!E14&amp;"ea"&amp;"，"&amp;亮度與BLU功耗!E20&amp;"lm Typ"&amp;"，"&amp;亮度與BLU功耗!E22&amp;"V Max@"&amp;亮度與BLU功耗!E21&amp;"mA，"&amp;亮度與BLU功耗!E19&amp;"ea TVS"</f>
        <v>3006(YAG)-無Zener，55ea，8.75lm Typ，2.93V Max@22mA，12ea TVS</v>
      </c>
      <c r="H147" s="2542">
        <v>1</v>
      </c>
      <c r="I147" s="2541"/>
      <c r="J147" s="2546">
        <v>1</v>
      </c>
      <c r="K147" s="2547">
        <f t="shared" si="5"/>
        <v>1</v>
      </c>
      <c r="L147" s="2487" t="s">
        <v>582</v>
      </c>
      <c r="M147" s="2431" t="str">
        <f>$M$146&amp;G147&amp;$M$146</f>
        <v>"3006(YAG)-無Zener，55ea，8.75lm Typ，2.93V Max@22mA，12ea TVS"</v>
      </c>
    </row>
    <row r="148" spans="2:13">
      <c r="B148" s="2538" t="s">
        <v>505</v>
      </c>
      <c r="C148" s="2538" t="s">
        <v>634</v>
      </c>
      <c r="D148" s="2539" t="s">
        <v>75</v>
      </c>
      <c r="E148" s="2540"/>
      <c r="F148" s="2539"/>
      <c r="G148" s="2541" t="str">
        <f>'Thickness &amp; Weight'!W18&amp;" "&amp;'Thickness &amp; Weight'!C17&amp;"t"&amp;IF(AND(Outline_X_and_Y!D5='Thickness &amp; Weight'!C17,Outline_X_and_Y!D18='Thickness &amp; Weight'!C17,Outline_X_and_Y!L5='Thickness &amp; Weight'!C17),"单折","双折")</f>
        <v>DA01-H38 0.25t双折</v>
      </c>
      <c r="H148" s="2542">
        <v>1</v>
      </c>
      <c r="I148" s="2541"/>
      <c r="J148" s="2546">
        <v>1</v>
      </c>
      <c r="K148" s="2547">
        <f t="shared" si="5"/>
        <v>1</v>
      </c>
      <c r="L148" s="2487" t="s">
        <v>582</v>
      </c>
      <c r="M148" s="2431" t="str">
        <f t="shared" ref="M148:M162" si="6">$M$146&amp;G148&amp;$M$146</f>
        <v>"DA01-H38 0.25t双折"</v>
      </c>
    </row>
    <row r="149" spans="2:13">
      <c r="B149" s="2538" t="s">
        <v>505</v>
      </c>
      <c r="C149" s="2538" t="s">
        <v>634</v>
      </c>
      <c r="D149" s="2539" t="s">
        <v>85</v>
      </c>
      <c r="E149" s="2540"/>
      <c r="F149" s="2539"/>
      <c r="G149" s="2541" t="str">
        <f>亮度與BLU功耗!F34&amp;"，"&amp;亮度與BLU功耗!E34&amp;"t"&amp;" "&amp;亮度與BLU功耗!E33</f>
        <v>热压PMMA，0.5t V-CUT</v>
      </c>
      <c r="H149" s="2542">
        <v>1</v>
      </c>
      <c r="I149" s="2541"/>
      <c r="J149" s="2546">
        <v>1</v>
      </c>
      <c r="K149" s="2547">
        <f t="shared" si="5"/>
        <v>1</v>
      </c>
      <c r="L149" s="2487" t="s">
        <v>582</v>
      </c>
      <c r="M149" s="2431" t="str">
        <f t="shared" si="6"/>
        <v>"热压PMMA，0.5t V-CUT"</v>
      </c>
    </row>
    <row r="150" spans="2:13">
      <c r="B150" s="2538" t="s">
        <v>505</v>
      </c>
      <c r="C150" s="2538" t="s">
        <v>634</v>
      </c>
      <c r="D150" s="2539" t="s">
        <v>90</v>
      </c>
      <c r="E150" s="2540"/>
      <c r="F150" s="2539"/>
      <c r="G150" s="2541" t="str">
        <f>亮度與BLU功耗!E35</f>
        <v>PC 白</v>
      </c>
      <c r="H150" s="2542">
        <v>1</v>
      </c>
      <c r="I150" s="2541"/>
      <c r="J150" s="2546">
        <v>1</v>
      </c>
      <c r="K150" s="2547">
        <f t="shared" si="5"/>
        <v>1</v>
      </c>
      <c r="L150" s="2487" t="s">
        <v>582</v>
      </c>
      <c r="M150" s="2431" t="str">
        <f t="shared" si="6"/>
        <v>"PC 白"</v>
      </c>
    </row>
    <row r="151" spans="2:13">
      <c r="B151" s="2538" t="s">
        <v>505</v>
      </c>
      <c r="C151" s="2538" t="s">
        <v>634</v>
      </c>
      <c r="D151" s="2539" t="s">
        <v>94</v>
      </c>
      <c r="E151" s="2540"/>
      <c r="F151" s="2539"/>
      <c r="G151" s="2541" t="str">
        <f>IF(亮度與BLU功耗!E27="","-",VLOOKUP(亮度與BLU功耗!E27,'U-Diff.選型'!B3:L14,11,0)&amp;" "&amp;亮度與BLU功耗!E27&amp;"  "&amp;VLOOKUP(亮度與BLU功耗!E27,'U-Diff.選型'!B3:L14,2,0)&amp;"t "&amp;" 印刷黑边")</f>
        <v>SKC JS960HK  0.115t  印刷黑边</v>
      </c>
      <c r="H151" s="2542">
        <v>1</v>
      </c>
      <c r="I151" s="2541"/>
      <c r="J151" s="2546">
        <v>1</v>
      </c>
      <c r="K151" s="2547">
        <f t="shared" si="5"/>
        <v>1</v>
      </c>
      <c r="L151" s="2487" t="s">
        <v>582</v>
      </c>
      <c r="M151" s="2431" t="str">
        <f t="shared" si="6"/>
        <v>"SKC JS960HK  0.115t  印刷黑边"</v>
      </c>
    </row>
    <row r="152" spans="2:13">
      <c r="B152" s="2538" t="s">
        <v>505</v>
      </c>
      <c r="C152" s="2538" t="s">
        <v>634</v>
      </c>
      <c r="D152" s="2539" t="s">
        <v>98</v>
      </c>
      <c r="E152" s="2540"/>
      <c r="F152" s="2539"/>
      <c r="G152" s="2541" t="str">
        <f>VLOOKUP(亮度與BLU功耗!E29,棱鏡片選型!C3:Y87,2,0)&amp;" "&amp;VLOOKUP(亮度與BLU功耗!E29,棱鏡片選型!C3:Y87,9,0)&amp;" "&amp;VLOOKUP(亮度與BLU功耗!E29,棱鏡片選型!C3:Y87,12,0)&amp;"t"</f>
        <v>Ubright HLS505-03 0.157t</v>
      </c>
      <c r="H152" s="2542">
        <v>1</v>
      </c>
      <c r="I152" s="2541"/>
      <c r="J152" s="2546">
        <v>1</v>
      </c>
      <c r="K152" s="2547">
        <f t="shared" si="5"/>
        <v>1</v>
      </c>
      <c r="L152" s="2487" t="s">
        <v>582</v>
      </c>
      <c r="M152" s="2431" t="str">
        <f t="shared" si="6"/>
        <v>"Ubright HLS505-03 0.157t"</v>
      </c>
    </row>
    <row r="153" spans="2:13">
      <c r="B153" s="2538" t="s">
        <v>505</v>
      </c>
      <c r="C153" s="2538" t="s">
        <v>634</v>
      </c>
      <c r="D153" s="2539" t="s">
        <v>100</v>
      </c>
      <c r="E153" s="2540"/>
      <c r="F153" s="2539"/>
      <c r="G153" s="2541" t="str">
        <f>IF(VLOOKUP(亮度與BLU功耗!E29,棱鏡片選型!C3:Y87,16,0)="","-",VLOOKUP(亮度與BLU功耗!E29,棱鏡片選型!C3:Y87,2,0)&amp;" "&amp;VLOOKUP(亮度與BLU功耗!E29,棱鏡片選型!C3:Y87,13,0)&amp;" "&amp;VLOOKUP(亮度與BLU功耗!E29,棱鏡片選型!C3:Y87,16,0)&amp;"t")</f>
        <v>Ubright HS505E 0.152t</v>
      </c>
      <c r="H153" s="2542">
        <v>1</v>
      </c>
      <c r="I153" s="2541"/>
      <c r="J153" s="2546">
        <v>1</v>
      </c>
      <c r="K153" s="2547">
        <f t="shared" si="5"/>
        <v>1</v>
      </c>
      <c r="L153" s="2487" t="s">
        <v>582</v>
      </c>
      <c r="M153" s="2431" t="str">
        <f t="shared" si="6"/>
        <v>"Ubright HS505E 0.152t"</v>
      </c>
    </row>
    <row r="154" spans="2:13">
      <c r="B154" s="2538" t="s">
        <v>505</v>
      </c>
      <c r="C154" s="2538" t="s">
        <v>634</v>
      </c>
      <c r="D154" s="2539" t="s">
        <v>101</v>
      </c>
      <c r="E154" s="2540"/>
      <c r="F154" s="2539"/>
      <c r="G154" s="2541" t="str">
        <f>VLOOKUP(亮度與BLU功耗!E31,'D-Diff.選型'!B2:K18,9,0)&amp;" "&amp;亮度與BLU功耗!E31&amp;" "&amp;VLOOKUP(亮度與BLU功耗!E31,'D-Diff.選型'!B2:K18,2,0)&amp;"t 印刷黑边"</f>
        <v>乐凯 CDH743X 0.058t 印刷黑边</v>
      </c>
      <c r="H154" s="2542">
        <v>1</v>
      </c>
      <c r="I154" s="2541"/>
      <c r="J154" s="2546">
        <v>1</v>
      </c>
      <c r="K154" s="2547">
        <f t="shared" si="5"/>
        <v>1</v>
      </c>
      <c r="L154" s="2487" t="s">
        <v>582</v>
      </c>
      <c r="M154" s="2431" t="str">
        <f t="shared" si="6"/>
        <v>"乐凯 CDH743X 0.058t 印刷黑边"</v>
      </c>
    </row>
    <row r="155" spans="2:13">
      <c r="B155" s="2538" t="s">
        <v>505</v>
      </c>
      <c r="C155" s="2538" t="s">
        <v>634</v>
      </c>
      <c r="D155" s="2539" t="s">
        <v>102</v>
      </c>
      <c r="E155" s="2540"/>
      <c r="F155" s="2539"/>
      <c r="G155" s="2541" t="str">
        <f>VLOOKUP(亮度與BLU功耗!E32,Ref.選型!B2:J18,9,0)&amp;" "&amp;亮度與BLU功耗!E32&amp;" "&amp;VLOOKUP(亮度與BLU功耗!E32,Ref.選型!B2:J18,3,0)&amp;"t"</f>
        <v>兰埔成 RF150UC10E 0.16t</v>
      </c>
      <c r="H155" s="2542">
        <v>1</v>
      </c>
      <c r="I155" s="2541"/>
      <c r="J155" s="2546">
        <v>1</v>
      </c>
      <c r="K155" s="2547">
        <f t="shared" si="5"/>
        <v>1</v>
      </c>
      <c r="L155" s="2487" t="s">
        <v>582</v>
      </c>
      <c r="M155" s="2431" t="str">
        <f t="shared" si="6"/>
        <v>"兰埔成 RF150UC10E 0.16t"</v>
      </c>
    </row>
    <row r="156" spans="2:12">
      <c r="B156" s="2538" t="s">
        <v>505</v>
      </c>
      <c r="C156" s="2538" t="s">
        <v>634</v>
      </c>
      <c r="D156" s="2539" t="s">
        <v>650</v>
      </c>
      <c r="E156" s="2540"/>
      <c r="F156" s="2539"/>
      <c r="G156" s="2543"/>
      <c r="H156" s="2542"/>
      <c r="I156" s="2541"/>
      <c r="J156" s="2546">
        <v>1</v>
      </c>
      <c r="K156" s="2547">
        <f t="shared" si="5"/>
        <v>0</v>
      </c>
      <c r="L156" s="2487" t="s">
        <v>582</v>
      </c>
    </row>
    <row r="157" spans="2:12">
      <c r="B157" s="2538" t="s">
        <v>505</v>
      </c>
      <c r="C157" s="2538" t="s">
        <v>634</v>
      </c>
      <c r="D157" s="2539" t="s">
        <v>420</v>
      </c>
      <c r="E157" s="2540"/>
      <c r="F157" s="2539"/>
      <c r="G157" s="2543"/>
      <c r="H157" s="2542"/>
      <c r="I157" s="2541"/>
      <c r="J157" s="2546">
        <v>1</v>
      </c>
      <c r="K157" s="2547">
        <f t="shared" si="5"/>
        <v>0</v>
      </c>
      <c r="L157" s="2487" t="s">
        <v>582</v>
      </c>
    </row>
    <row r="158" spans="2:12">
      <c r="B158" s="2538" t="s">
        <v>505</v>
      </c>
      <c r="C158" s="2538" t="s">
        <v>636</v>
      </c>
      <c r="D158" s="2539" t="s">
        <v>637</v>
      </c>
      <c r="E158" s="2540"/>
      <c r="F158" s="2539"/>
      <c r="G158" s="2541"/>
      <c r="H158" s="2542"/>
      <c r="I158" s="2541"/>
      <c r="J158" s="2546">
        <v>1</v>
      </c>
      <c r="K158" s="2547">
        <f t="shared" si="5"/>
        <v>0</v>
      </c>
      <c r="L158" s="2487" t="s">
        <v>582</v>
      </c>
    </row>
    <row r="159" spans="2:13">
      <c r="B159" s="2538" t="s">
        <v>505</v>
      </c>
      <c r="C159" s="2538" t="s">
        <v>636</v>
      </c>
      <c r="D159" s="2539" t="s">
        <v>638</v>
      </c>
      <c r="E159" s="2540"/>
      <c r="F159" s="2539"/>
      <c r="G159" s="2541" t="str">
        <f>'Cell Tape 貼覆面積'!G10</f>
        <v>双铝 </v>
      </c>
      <c r="H159" s="2542">
        <v>1</v>
      </c>
      <c r="I159" s="2541"/>
      <c r="J159" s="2546">
        <v>1</v>
      </c>
      <c r="K159" s="2547">
        <f t="shared" si="5"/>
        <v>1</v>
      </c>
      <c r="L159" s="2487" t="s">
        <v>582</v>
      </c>
      <c r="M159" s="2431" t="str">
        <f t="shared" si="6"/>
        <v>"双铝 "</v>
      </c>
    </row>
    <row r="160" spans="2:13">
      <c r="B160" s="2538" t="s">
        <v>505</v>
      </c>
      <c r="C160" s="2538" t="s">
        <v>636</v>
      </c>
      <c r="D160" s="2539" t="s">
        <v>640</v>
      </c>
      <c r="E160" s="2540"/>
      <c r="F160" s="2539"/>
      <c r="G160" s="2541" t="str">
        <f>'Cell Tape 貼覆面積'!G16</f>
        <v>双铝 </v>
      </c>
      <c r="H160" s="2542">
        <v>1</v>
      </c>
      <c r="I160" s="2541"/>
      <c r="J160" s="2546">
        <v>1</v>
      </c>
      <c r="K160" s="2547">
        <f t="shared" si="5"/>
        <v>1</v>
      </c>
      <c r="L160" s="2487" t="s">
        <v>582</v>
      </c>
      <c r="M160" s="2431" t="str">
        <f t="shared" si="6"/>
        <v>"双铝 "</v>
      </c>
    </row>
    <row r="161" spans="2:13">
      <c r="B161" s="2538" t="s">
        <v>505</v>
      </c>
      <c r="C161" s="2538" t="s">
        <v>636</v>
      </c>
      <c r="D161" s="2539" t="s">
        <v>642</v>
      </c>
      <c r="E161" s="2540"/>
      <c r="F161" s="2539"/>
      <c r="G161" s="2541" t="str">
        <f>'Cell Tape 貼覆面積'!C10</f>
        <v>双铝 </v>
      </c>
      <c r="H161" s="2542">
        <v>1</v>
      </c>
      <c r="I161" s="2541"/>
      <c r="J161" s="2546">
        <v>1</v>
      </c>
      <c r="K161" s="2547">
        <f t="shared" si="5"/>
        <v>1</v>
      </c>
      <c r="L161" s="2487" t="s">
        <v>582</v>
      </c>
      <c r="M161" s="2431" t="str">
        <f t="shared" si="6"/>
        <v>"双铝 "</v>
      </c>
    </row>
    <row r="162" spans="2:13">
      <c r="B162" s="2538" t="s">
        <v>505</v>
      </c>
      <c r="C162" s="2538" t="s">
        <v>636</v>
      </c>
      <c r="D162" s="2539" t="s">
        <v>644</v>
      </c>
      <c r="E162" s="2540"/>
      <c r="F162" s="2539"/>
      <c r="G162" s="2541" t="str">
        <f>'Cell Tape 貼覆面積'!C16</f>
        <v>双铝 </v>
      </c>
      <c r="H162" s="2542">
        <v>1</v>
      </c>
      <c r="I162" s="2541"/>
      <c r="J162" s="2546">
        <v>1</v>
      </c>
      <c r="K162" s="2547">
        <f t="shared" si="5"/>
        <v>1</v>
      </c>
      <c r="L162" s="2487" t="s">
        <v>582</v>
      </c>
      <c r="M162" s="2431" t="str">
        <f t="shared" si="6"/>
        <v>"双铝 "</v>
      </c>
    </row>
    <row r="163" spans="2:12">
      <c r="B163" s="2538" t="s">
        <v>505</v>
      </c>
      <c r="C163" s="2538" t="s">
        <v>646</v>
      </c>
      <c r="D163" s="2539" t="s">
        <v>647</v>
      </c>
      <c r="E163" s="2540"/>
      <c r="F163" s="2539" t="s">
        <v>521</v>
      </c>
      <c r="G163" s="2541"/>
      <c r="H163" s="2542"/>
      <c r="I163" s="2541"/>
      <c r="J163" s="2546">
        <v>1</v>
      </c>
      <c r="K163" s="2547">
        <f t="shared" si="5"/>
        <v>0</v>
      </c>
      <c r="L163" s="2487"/>
    </row>
  </sheetData>
  <autoFilter ref="B4:K163">
    <extLst/>
  </autoFilter>
  <dataValidations count="29">
    <dataValidation allowBlank="1" showInputMessage="1" showErrorMessage="1" prompt="有薄化，抛光，镀膜需求是请填写相应规格&#10;如：0.5+0.5--&gt;0.2+0.2T，双面抛光" sqref="G5:G9"/>
    <dataValidation allowBlank="1" showInputMessage="1" showErrorMessage="1" prompt="成本评估时请汇总担当填写" sqref="B3:G3"/>
    <dataValidation allowBlank="1" showInputMessage="1" showErrorMessage="1" prompt="原材型号" sqref="G151:G155"/>
    <dataValidation allowBlank="1" showInputMessage="1" showErrorMessage="1" prompt="液晶型号" sqref="G73"/>
    <dataValidation allowBlank="1" showInputMessage="1" showErrorMessage="1" prompt="共用现有时，只需提供产品机种FG-Code，不用提供ACC明细" sqref="G10"/>
    <dataValidation allowBlank="1" showInputMessage="1" showErrorMessage="1" prompt="默认按10000Panel填写" sqref="H12:H41 H43:H55 H57:H66 H73:H78"/>
    <dataValidation allowBlank="1" showInputMessage="1" showErrorMessage="1" prompt="材质，厚度，特殊处理" sqref="G149"/>
    <dataValidation allowBlank="1" showInputMessage="1" showErrorMessage="1" prompt="共用现有时，只需提供参考品机G-Code不用提供明细" sqref="G11 G42 G56 G67:G72"/>
    <dataValidation allowBlank="1" showInputMessage="1" showErrorMessage="1" promptTitle="TV产品注意" prompt="L&amp;R设计一样时用量填写为2即可&#10;不一致时，添加一行“X-PCB L”单独填写，本行默认为R侧" sqref="D90"/>
    <dataValidation allowBlank="1" showInputMessage="1" showErrorMessage="1" prompt="填写空片物料号" sqref="F104 F107"/>
    <dataValidation allowBlank="1" showInputMessage="1" showErrorMessage="1" prompt="尺寸&amp;表面处理&amp;材质&amp;厚度" sqref="G79:G80"/>
    <dataValidation allowBlank="1" showInputMessage="1" showErrorMessage="1" prompt="功耗等规格" sqref="G146"/>
    <dataValidation allowBlank="1" showInputMessage="1" showErrorMessage="1" prompt="LED&amp;数量&amp;亮度&amp;粉&amp;电压&amp;Zener/TVS" sqref="G147"/>
    <dataValidation allowBlank="1" showInputMessage="1" showErrorMessage="1" prompt="材质&amp;厚度，单折边or双折边等" sqref="G148"/>
    <dataValidation allowBlank="1" showInputMessage="1" showErrorMessage="1" prompt="特殊要求请说明" sqref="G156:G157"/>
    <dataValidation allowBlank="1" showInputMessage="1" showErrorMessage="1" prompt="材质&amp;颜色" sqref="G150"/>
    <dataValidation allowBlank="1" showInputMessage="1" showErrorMessage="1" prompt="共用提供参考机种FG-Code&#10;新开提供二级部品明细" sqref="G163"/>
    <dataValidation allowBlank="1" showInputMessage="1" showErrorMessage="1" prompt="需使用多个不同规格时，添加行，命名为“OP 型号2”" sqref="D116:D118"/>
    <dataValidation allowBlank="1" showInputMessage="1" showErrorMessage="1" prompt="填写型号" sqref="G81:G86 G92:G133"/>
    <dataValidation allowBlank="1" showInputMessage="1" showErrorMessage="1" promptTitle="注意" prompt="需使用多个不同规格时，添加行，如还需使用一个LDO，增加一行“LDO 型号2”" sqref="D134:D142"/>
    <dataValidation allowBlank="1" showInputMessage="1" showErrorMessage="1" prompt="有物料号的需填写，暂无的写TBD" sqref="F12:F41 F43:F55 F57:F66 F73:F88 F90:F103 F105:F106 F108:F162"/>
    <dataValidation allowBlank="1" showInputMessage="1" showErrorMessage="1" prompt="填写材料规格" sqref="G12:G41 G43:G55 G57:G66 G74:G78"/>
    <dataValidation allowBlank="1" showInputMessage="1" showErrorMessage="1" prompt="长*宽，层数，若为COF材质请说明" sqref="G87:G88"/>
    <dataValidation allowBlank="1" showInputMessage="1" showErrorMessage="1" prompt="尺寸&amp;厚度&amp;层数&amp;是否HDI" sqref="G90:G91"/>
    <dataValidation allowBlank="1" showInputMessage="1" showErrorMessage="1" prompt="材质" sqref="G158:G162"/>
    <dataValidation allowBlank="1" showInputMessage="1" showErrorMessage="1" promptTitle="注意" prompt="可选2、3无需填写用量" sqref="H82:H83 H85:H86 H93:H94 H96:H97 H99:H100 H102:H103 H105:H106 H108:H109 H111:H112 H114:H115 H117:H118 H120:H121 H123:H124 H126:H127 H129:H130 H132:H133"/>
    <dataValidation allowBlank="1" showInputMessage="1" showErrorMessage="1" prompt="可填写推荐供应商，最终选择以供应链为准" sqref="I5:I163"/>
    <dataValidation allowBlank="1" showInputMessage="1" showErrorMessage="1" promptTitle="勿改动" prompt="公式内容，勿改动" sqref="J5:K163"/>
    <dataValidation type="list" allowBlank="1" showInputMessage="1" showErrorMessage="1" sqref="L5:L163">
      <formula1>"Array,Cell,CF,机光,电路"</formula1>
    </dataValidation>
  </dataValidations>
  <pageMargins left="0.7" right="0.7" top="0.75" bottom="0.75" header="0.3" footer="0.3"/>
  <pageSetup paperSize="9" orientation="portrait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41">
    <tabColor rgb="FFFFFF00"/>
  </sheetPr>
  <dimension ref="B1:Q43"/>
  <sheetViews>
    <sheetView workbookViewId="0">
      <pane xSplit="1" ySplit="4" topLeftCell="B17" activePane="bottomRight" state="frozen"/>
      <selection/>
      <selection pane="topRight"/>
      <selection pane="bottomLeft"/>
      <selection pane="bottomRight" activeCell="S25" sqref="S25"/>
    </sheetView>
  </sheetViews>
  <sheetFormatPr defaultColWidth="9" defaultRowHeight="14.4"/>
  <cols>
    <col min="1" max="1" width="1.44444444444444" customWidth="1"/>
    <col min="2" max="2" width="35" customWidth="1"/>
    <col min="3" max="3" width="13.2222222222222" customWidth="1"/>
    <col min="4" max="4" width="16.3333333333333" customWidth="1"/>
    <col min="5" max="6" width="12" customWidth="1"/>
    <col min="7" max="7" width="47.2222222222222" customWidth="1"/>
    <col min="8" max="8" width="1.44444444444444" customWidth="1"/>
    <col min="9" max="9" width="59.2222222222222" hidden="1" customWidth="1"/>
    <col min="10" max="10" width="19.3333333333333" hidden="1" customWidth="1"/>
    <col min="11" max="11" width="18.3333333333333" hidden="1" customWidth="1"/>
    <col min="12" max="12" width="15" hidden="1" customWidth="1"/>
    <col min="13" max="17" width="9" hidden="1" customWidth="1"/>
  </cols>
  <sheetData>
    <row r="1" ht="6" customHeight="1"/>
    <row r="2" spans="2:2">
      <c r="B2" s="1973" t="s">
        <v>651</v>
      </c>
    </row>
    <row r="3" spans="2:7">
      <c r="B3" s="1007" t="s">
        <v>652</v>
      </c>
      <c r="C3" s="1007"/>
      <c r="D3" s="1007"/>
      <c r="E3" s="1007"/>
      <c r="F3" s="2097" t="s">
        <v>653</v>
      </c>
      <c r="G3" s="2097" t="s">
        <v>112</v>
      </c>
    </row>
    <row r="4" ht="13.5" customHeight="1" spans="2:7">
      <c r="B4" s="2097"/>
      <c r="C4" s="2097" t="s">
        <v>654</v>
      </c>
      <c r="D4" s="2097" t="s">
        <v>655</v>
      </c>
      <c r="E4" s="1007" t="s">
        <v>113</v>
      </c>
      <c r="F4" s="2097"/>
      <c r="G4" s="2097"/>
    </row>
    <row r="5" ht="15" customHeight="1" spans="2:12">
      <c r="B5" s="2418" t="s">
        <v>656</v>
      </c>
      <c r="C5" s="2418"/>
      <c r="D5" s="2418"/>
      <c r="E5" s="2418"/>
      <c r="F5" s="2418"/>
      <c r="G5" s="2418"/>
      <c r="I5" t="s">
        <v>657</v>
      </c>
      <c r="J5" t="s">
        <v>658</v>
      </c>
      <c r="K5" t="s">
        <v>659</v>
      </c>
      <c r="L5" s="2429" t="s">
        <v>660</v>
      </c>
    </row>
    <row r="6" ht="15" customHeight="1" spans="2:12">
      <c r="B6" s="2014" t="s">
        <v>661</v>
      </c>
      <c r="C6" s="1827">
        <v>344.22</v>
      </c>
      <c r="D6" s="1919">
        <f>亮度與BLU功耗!E37</f>
        <v>344.22</v>
      </c>
      <c r="E6" s="1826"/>
      <c r="F6" s="2419" t="str">
        <f>IF(D6=C6,"OK","NG")</f>
        <v>OK</v>
      </c>
      <c r="G6" s="2420"/>
      <c r="I6" t="s">
        <v>662</v>
      </c>
      <c r="J6" t="s">
        <v>663</v>
      </c>
      <c r="K6" t="s">
        <v>664</v>
      </c>
      <c r="L6" s="351"/>
    </row>
    <row r="7" ht="15" customHeight="1" spans="2:12">
      <c r="B7" s="2014" t="s">
        <v>665</v>
      </c>
      <c r="C7" s="1827">
        <v>196.3</v>
      </c>
      <c r="D7" s="1919">
        <f>亮度與BLU功耗!E38</f>
        <v>196.3</v>
      </c>
      <c r="E7" s="1826"/>
      <c r="F7" s="2419" t="str">
        <f t="shared" ref="F7:F34" si="0">IF(D7=C7,"OK","NG")</f>
        <v>OK</v>
      </c>
      <c r="G7" s="2420"/>
      <c r="I7" t="s">
        <v>666</v>
      </c>
      <c r="J7" t="s">
        <v>663</v>
      </c>
      <c r="K7" t="s">
        <v>664</v>
      </c>
      <c r="L7" s="351"/>
    </row>
    <row r="8" spans="2:13">
      <c r="B8" s="2014" t="s">
        <v>667</v>
      </c>
      <c r="C8" s="1919">
        <f>C6+C19+C20</f>
        <v>350.07</v>
      </c>
      <c r="D8" s="2421">
        <f>Outline_X_and_Y!D22</f>
        <v>350.07</v>
      </c>
      <c r="E8" s="2422" t="s">
        <v>668</v>
      </c>
      <c r="F8" s="2419" t="str">
        <f t="shared" si="0"/>
        <v>OK</v>
      </c>
      <c r="G8" s="2420"/>
      <c r="I8" t="s">
        <v>669</v>
      </c>
      <c r="J8" t="s">
        <v>670</v>
      </c>
      <c r="K8" t="s">
        <v>671</v>
      </c>
      <c r="L8" s="351" t="s">
        <v>672</v>
      </c>
      <c r="M8" s="2429" t="s">
        <v>673</v>
      </c>
    </row>
    <row r="9" spans="2:13">
      <c r="B9" s="2014" t="s">
        <v>674</v>
      </c>
      <c r="C9" s="1919">
        <f>C7+C21+C22</f>
        <v>207.95</v>
      </c>
      <c r="D9" s="2421">
        <f>Outline_X_and_Y!L22</f>
        <v>207.75</v>
      </c>
      <c r="E9" s="2422" t="s">
        <v>668</v>
      </c>
      <c r="F9" s="2419" t="str">
        <f t="shared" si="0"/>
        <v>NG</v>
      </c>
      <c r="G9" s="2420"/>
      <c r="I9" t="s">
        <v>675</v>
      </c>
      <c r="J9" t="s">
        <v>670</v>
      </c>
      <c r="K9" t="s">
        <v>671</v>
      </c>
      <c r="L9" s="351" t="s">
        <v>672</v>
      </c>
      <c r="M9" s="2429" t="s">
        <v>673</v>
      </c>
    </row>
    <row r="10" spans="2:13">
      <c r="B10" s="2014" t="s">
        <v>676</v>
      </c>
      <c r="C10" s="1919">
        <f>C7+C21+C23</f>
        <v>207.95</v>
      </c>
      <c r="D10" s="2421">
        <f>IF(C22=C23,C10,Outline_X_and_Y!O22)</f>
        <v>207.95</v>
      </c>
      <c r="E10" s="2422" t="s">
        <v>668</v>
      </c>
      <c r="F10" s="2419" t="str">
        <f t="shared" si="0"/>
        <v>OK</v>
      </c>
      <c r="G10" s="2420"/>
      <c r="I10" t="s">
        <v>677</v>
      </c>
      <c r="J10" t="s">
        <v>670</v>
      </c>
      <c r="K10" t="s">
        <v>671</v>
      </c>
      <c r="L10" s="351" t="s">
        <v>672</v>
      </c>
      <c r="M10" s="2429" t="s">
        <v>673</v>
      </c>
    </row>
    <row r="11" ht="17.25" customHeight="1" spans="2:11">
      <c r="B11" s="2014" t="s">
        <v>678</v>
      </c>
      <c r="C11" s="1827">
        <v>2.8</v>
      </c>
      <c r="D11" s="2423">
        <f>'Thickness &amp; Weight'!C22</f>
        <v>2.378</v>
      </c>
      <c r="E11" s="2422" t="s">
        <v>668</v>
      </c>
      <c r="F11" s="2419" t="str">
        <f>IF((D11+D12)&gt;C11,"NG","OK")</f>
        <v>OK</v>
      </c>
      <c r="G11" s="2424"/>
      <c r="I11" t="s">
        <v>679</v>
      </c>
      <c r="J11" t="s">
        <v>132</v>
      </c>
      <c r="K11" t="s">
        <v>680</v>
      </c>
    </row>
    <row r="12" ht="17.25" customHeight="1" spans="2:7">
      <c r="B12" s="2420"/>
      <c r="C12" s="1827"/>
      <c r="D12" s="2423">
        <f>'Thickness &amp; Weight'!C23</f>
        <v>0.15</v>
      </c>
      <c r="E12" s="2017" t="s">
        <v>681</v>
      </c>
      <c r="F12" s="2419"/>
      <c r="G12" s="1998"/>
    </row>
    <row r="13" ht="17.25" customHeight="1" spans="2:7">
      <c r="B13" s="2014" t="s">
        <v>682</v>
      </c>
      <c r="C13" s="1827">
        <v>2.8</v>
      </c>
      <c r="D13" s="2423">
        <f>'Thickness &amp; Weight'!H22</f>
        <v>2.464</v>
      </c>
      <c r="E13" s="2422" t="s">
        <v>668</v>
      </c>
      <c r="F13" s="2419" t="str">
        <f>IF((D13+D14)&gt;C13,"NG","OK")</f>
        <v>OK</v>
      </c>
      <c r="G13" s="2424"/>
    </row>
    <row r="14" ht="17.25" customHeight="1" spans="2:7">
      <c r="B14" s="2420"/>
      <c r="C14" s="1827"/>
      <c r="D14" s="2423">
        <f>'Thickness &amp; Weight'!H23</f>
        <v>0.15</v>
      </c>
      <c r="E14" s="2017" t="s">
        <v>681</v>
      </c>
      <c r="F14" s="2419"/>
      <c r="G14" s="1998"/>
    </row>
    <row r="15" ht="13.5" customHeight="1" spans="2:11">
      <c r="B15" s="2014" t="s">
        <v>683</v>
      </c>
      <c r="C15" s="1827">
        <v>4.5</v>
      </c>
      <c r="D15" s="2163">
        <f>'Thickness &amp; Weight'!L13</f>
        <v>4.163</v>
      </c>
      <c r="E15" s="2425" t="s">
        <v>684</v>
      </c>
      <c r="F15" s="2419" t="str">
        <f>IF(C15&lt;(D15+D16),"NG","OK")</f>
        <v>OK</v>
      </c>
      <c r="G15" s="2424"/>
      <c r="I15" t="s">
        <v>685</v>
      </c>
      <c r="J15" t="s">
        <v>132</v>
      </c>
      <c r="K15" t="s">
        <v>680</v>
      </c>
    </row>
    <row r="16" ht="13.5" customHeight="1" spans="2:7">
      <c r="B16" s="2014"/>
      <c r="C16" s="1827"/>
      <c r="D16" s="2163">
        <f>'Thickness &amp; Weight'!L14</f>
        <v>0.2066331289992</v>
      </c>
      <c r="E16" s="2017" t="s">
        <v>681</v>
      </c>
      <c r="F16" s="2419"/>
      <c r="G16" s="1998"/>
    </row>
    <row r="17" ht="13.5" customHeight="1" spans="2:7">
      <c r="B17" s="2014"/>
      <c r="C17" s="1827"/>
      <c r="D17" s="2163">
        <f>'Thickness &amp; Weight'!L26</f>
        <v>4.078</v>
      </c>
      <c r="E17" s="2425" t="s">
        <v>686</v>
      </c>
      <c r="F17" s="2419" t="str">
        <f>IF(C15&lt;(D17+D18),"NG","OK")</f>
        <v>OK</v>
      </c>
      <c r="G17" s="2424"/>
    </row>
    <row r="18" ht="13.5" customHeight="1" spans="2:7">
      <c r="B18" s="2420"/>
      <c r="C18" s="1827"/>
      <c r="D18" s="2163">
        <f>'Thickness &amp; Weight'!L27</f>
        <v>0.206458228220626</v>
      </c>
      <c r="E18" s="2017" t="s">
        <v>681</v>
      </c>
      <c r="F18" s="2419"/>
      <c r="G18" s="1998"/>
    </row>
    <row r="19" ht="16.5" customHeight="1" spans="2:12">
      <c r="B19" s="2014" t="s">
        <v>687</v>
      </c>
      <c r="C19" s="1827">
        <v>3</v>
      </c>
      <c r="D19" s="1919">
        <f>Outline_X_and_Y!E4</f>
        <v>3</v>
      </c>
      <c r="E19" s="2141"/>
      <c r="F19" s="2419" t="str">
        <f t="shared" si="0"/>
        <v>OK</v>
      </c>
      <c r="G19" s="2426"/>
      <c r="I19" t="s">
        <v>688</v>
      </c>
      <c r="J19" t="s">
        <v>689</v>
      </c>
      <c r="L19" s="351" t="s">
        <v>690</v>
      </c>
    </row>
    <row r="20" ht="15" customHeight="1" spans="2:12">
      <c r="B20" s="2014" t="s">
        <v>691</v>
      </c>
      <c r="C20" s="1827">
        <v>2.85</v>
      </c>
      <c r="D20" s="1919">
        <f>Outline_X_and_Y!E13</f>
        <v>2.85</v>
      </c>
      <c r="E20" s="2141"/>
      <c r="F20" s="2419" t="str">
        <f t="shared" si="0"/>
        <v>OK</v>
      </c>
      <c r="G20" s="2420"/>
      <c r="I20" t="s">
        <v>692</v>
      </c>
      <c r="J20" t="s">
        <v>689</v>
      </c>
      <c r="L20" s="351" t="s">
        <v>690</v>
      </c>
    </row>
    <row r="21" ht="15" customHeight="1" spans="2:12">
      <c r="B21" s="2014" t="s">
        <v>693</v>
      </c>
      <c r="C21" s="1827">
        <v>2.95</v>
      </c>
      <c r="D21" s="1919">
        <f>Outline_X_and_Y!M4</f>
        <v>2.95</v>
      </c>
      <c r="E21" s="1826"/>
      <c r="F21" s="2419" t="str">
        <f t="shared" si="0"/>
        <v>OK</v>
      </c>
      <c r="G21" s="2420"/>
      <c r="I21" t="s">
        <v>694</v>
      </c>
      <c r="J21" t="s">
        <v>689</v>
      </c>
      <c r="L21" s="351" t="s">
        <v>690</v>
      </c>
    </row>
    <row r="22" ht="13.5" customHeight="1" spans="2:12">
      <c r="B22" s="2014" t="s">
        <v>695</v>
      </c>
      <c r="C22" s="1827">
        <v>8.7</v>
      </c>
      <c r="D22" s="1919">
        <f>Outline_X_and_Y!M13</f>
        <v>8.5</v>
      </c>
      <c r="E22" s="1826"/>
      <c r="F22" s="2419" t="str">
        <f t="shared" si="0"/>
        <v>NG</v>
      </c>
      <c r="G22" s="2420"/>
      <c r="I22" t="s">
        <v>696</v>
      </c>
      <c r="J22" t="s">
        <v>689</v>
      </c>
      <c r="L22" s="351" t="s">
        <v>690</v>
      </c>
    </row>
    <row r="23" ht="13.5" customHeight="1" spans="2:12">
      <c r="B23" s="2014" t="s">
        <v>697</v>
      </c>
      <c r="C23" s="1827">
        <v>8.7</v>
      </c>
      <c r="D23" s="1919">
        <f>IF(C22=C23,D22,Outline_X_and_Y!T19)</f>
        <v>8.5</v>
      </c>
      <c r="E23" s="1826"/>
      <c r="F23" s="2419" t="str">
        <f t="shared" si="0"/>
        <v>NG</v>
      </c>
      <c r="G23" s="2420"/>
      <c r="L23" s="351"/>
    </row>
    <row r="24" spans="2:10">
      <c r="B24" s="2014" t="s">
        <v>698</v>
      </c>
      <c r="C24" s="1919">
        <f>D24</f>
        <v>0.3</v>
      </c>
      <c r="D24" s="1919">
        <f>'Thickness &amp; Weight'!C6</f>
        <v>0.3</v>
      </c>
      <c r="E24" s="2422" t="s">
        <v>668</v>
      </c>
      <c r="F24" s="2419" t="str">
        <f t="shared" si="0"/>
        <v>OK</v>
      </c>
      <c r="G24" s="2420"/>
      <c r="I24" t="s">
        <v>699</v>
      </c>
      <c r="J24" t="s">
        <v>463</v>
      </c>
    </row>
    <row r="25" spans="2:10">
      <c r="B25" s="2014" t="s">
        <v>700</v>
      </c>
      <c r="C25" s="1919">
        <f>D25</f>
        <v>0.3</v>
      </c>
      <c r="D25" s="1919">
        <f>'Thickness &amp; Weight'!C7</f>
        <v>0.3</v>
      </c>
      <c r="E25" s="2422" t="s">
        <v>668</v>
      </c>
      <c r="F25" s="2419" t="str">
        <f t="shared" si="0"/>
        <v>OK</v>
      </c>
      <c r="G25" s="2420"/>
      <c r="I25" t="s">
        <v>699</v>
      </c>
      <c r="J25" t="s">
        <v>463</v>
      </c>
    </row>
    <row r="26" ht="16.5" customHeight="1" spans="2:7">
      <c r="B26" s="2014" t="s">
        <v>701</v>
      </c>
      <c r="C26" s="1919">
        <f>D26</f>
        <v>0.25</v>
      </c>
      <c r="D26" s="1919">
        <f>'Thickness &amp; Weight'!C17</f>
        <v>0.25</v>
      </c>
      <c r="E26" s="2141"/>
      <c r="F26" s="2419" t="str">
        <f t="shared" si="0"/>
        <v>OK</v>
      </c>
      <c r="G26" s="2420"/>
    </row>
    <row r="27" spans="2:12">
      <c r="B27" s="2014" t="s">
        <v>702</v>
      </c>
      <c r="C27" s="1919" t="str">
        <f>D27</f>
        <v>DA01-H38</v>
      </c>
      <c r="D27" s="1919" t="str">
        <f>'Thickness &amp; Weight'!W18</f>
        <v>DA01-H38</v>
      </c>
      <c r="E27" s="2017"/>
      <c r="F27" s="2419" t="str">
        <f t="shared" si="0"/>
        <v>OK</v>
      </c>
      <c r="G27" s="2420"/>
      <c r="J27" s="351" t="s">
        <v>703</v>
      </c>
      <c r="L27" s="351" t="s">
        <v>704</v>
      </c>
    </row>
    <row r="28" spans="2:12">
      <c r="B28" s="2014" t="s">
        <v>705</v>
      </c>
      <c r="C28" s="1827">
        <v>310</v>
      </c>
      <c r="D28" s="2427">
        <f>'Thickness &amp; Weight'!T25</f>
        <v>285.4153201732</v>
      </c>
      <c r="E28" s="2422" t="s">
        <v>668</v>
      </c>
      <c r="F28" s="2419" t="str">
        <f>IF((D28+D29)&gt;C28,"NG","OK")</f>
        <v>OK</v>
      </c>
      <c r="G28" s="2424"/>
      <c r="I28" t="s">
        <v>706</v>
      </c>
      <c r="L28" s="351"/>
    </row>
    <row r="29" spans="2:7">
      <c r="B29" s="2420"/>
      <c r="C29" s="2419"/>
      <c r="D29" s="2427">
        <f>'Thickness &amp; Weight'!T26</f>
        <v>10</v>
      </c>
      <c r="E29" s="2017" t="s">
        <v>681</v>
      </c>
      <c r="F29" s="2419"/>
      <c r="G29" s="1998"/>
    </row>
    <row r="30" spans="2:10">
      <c r="B30" s="2014" t="s">
        <v>707</v>
      </c>
      <c r="C30" s="1827">
        <v>0.6</v>
      </c>
      <c r="D30" s="1919">
        <f>'Thickness &amp; Weight'!C26</f>
        <v>0.6</v>
      </c>
      <c r="E30" s="2141"/>
      <c r="F30" s="2419" t="str">
        <f t="shared" si="0"/>
        <v>OK</v>
      </c>
      <c r="G30" s="2420"/>
      <c r="I30" s="351" t="s">
        <v>707</v>
      </c>
      <c r="J30" s="351"/>
    </row>
    <row r="31" ht="15" customHeight="1" spans="2:7">
      <c r="B31" s="2418" t="s">
        <v>708</v>
      </c>
      <c r="C31" s="2418"/>
      <c r="D31" s="2418"/>
      <c r="E31" s="2418"/>
      <c r="F31" s="2418"/>
      <c r="G31" s="2418"/>
    </row>
    <row r="32" spans="2:10">
      <c r="B32" s="2014" t="s">
        <v>709</v>
      </c>
      <c r="C32" s="1919">
        <f>D32</f>
        <v>55</v>
      </c>
      <c r="D32" s="1825">
        <f>亮度與BLU功耗!E14</f>
        <v>55</v>
      </c>
      <c r="E32" s="1826"/>
      <c r="F32" s="2419" t="str">
        <f t="shared" si="0"/>
        <v>OK</v>
      </c>
      <c r="G32" s="2420"/>
      <c r="J32" t="s">
        <v>710</v>
      </c>
    </row>
    <row r="33" spans="2:10">
      <c r="B33" s="2014" t="s">
        <v>711</v>
      </c>
      <c r="C33" s="1827">
        <v>300</v>
      </c>
      <c r="D33" s="1943">
        <f>亮度與BLU功耗!E57</f>
        <v>344.437182243395</v>
      </c>
      <c r="E33" s="2422" t="s">
        <v>668</v>
      </c>
      <c r="F33" s="2419" t="str">
        <f>IF(C33&lt;=D33,"OK","NG")</f>
        <v>OK</v>
      </c>
      <c r="G33" s="2420"/>
      <c r="I33" t="s">
        <v>712</v>
      </c>
      <c r="J33" t="s">
        <v>713</v>
      </c>
    </row>
    <row r="34" ht="15" customHeight="1" spans="2:17">
      <c r="B34" s="2014" t="s">
        <v>714</v>
      </c>
      <c r="C34" s="1827" t="s">
        <v>715</v>
      </c>
      <c r="D34" s="1825" t="str">
        <f>IF(亮度與BLU功耗!B4="","",亮度與BLU功耗!B4)</f>
        <v>sRGB100%</v>
      </c>
      <c r="E34" s="1826"/>
      <c r="F34" s="2419" t="str">
        <f t="shared" si="0"/>
        <v>OK</v>
      </c>
      <c r="G34" s="2420"/>
      <c r="I34" t="s">
        <v>716</v>
      </c>
      <c r="J34" t="s">
        <v>714</v>
      </c>
      <c r="L34" s="351" t="s">
        <v>717</v>
      </c>
      <c r="M34" s="2429" t="s">
        <v>718</v>
      </c>
      <c r="N34" s="2429" t="s">
        <v>719</v>
      </c>
      <c r="O34" s="2429" t="s">
        <v>720</v>
      </c>
      <c r="P34" s="2429" t="s">
        <v>721</v>
      </c>
      <c r="Q34" s="2429" t="s">
        <v>722</v>
      </c>
    </row>
    <row r="35" spans="2:12">
      <c r="B35" s="2014" t="s">
        <v>723</v>
      </c>
      <c r="C35" s="1827">
        <v>3.62</v>
      </c>
      <c r="D35" s="1943">
        <f>亮度與BLU功耗!E24</f>
        <v>4.00282044289299</v>
      </c>
      <c r="E35" s="2017" t="s">
        <v>724</v>
      </c>
      <c r="F35" s="2419" t="str">
        <f t="shared" ref="F35:F40" si="1">IF(C35&gt;=D35,"OK","NG")</f>
        <v>NG</v>
      </c>
      <c r="G35" s="2420"/>
      <c r="I35" t="s">
        <v>725</v>
      </c>
      <c r="J35" t="s">
        <v>726</v>
      </c>
      <c r="L35" s="351"/>
    </row>
    <row r="36" ht="16.5" customHeight="1" spans="2:12">
      <c r="B36" s="2014" t="s">
        <v>727</v>
      </c>
      <c r="C36" s="1827">
        <v>0.7</v>
      </c>
      <c r="D36" s="1943">
        <f>亮度與BLU功耗!J103</f>
        <v>0.74</v>
      </c>
      <c r="E36" s="2017" t="s">
        <v>724</v>
      </c>
      <c r="F36" s="2419" t="str">
        <f t="shared" si="1"/>
        <v>NG</v>
      </c>
      <c r="G36" s="2420"/>
      <c r="I36" t="s">
        <v>728</v>
      </c>
      <c r="J36" t="s">
        <v>729</v>
      </c>
      <c r="L36" s="351" t="s">
        <v>730</v>
      </c>
    </row>
    <row r="37" ht="16.5" customHeight="1" spans="2:12">
      <c r="B37" s="2014" t="s">
        <v>731</v>
      </c>
      <c r="C37" s="1827">
        <v>0.9</v>
      </c>
      <c r="D37" s="1943">
        <f>亮度與BLU功耗!J104</f>
        <v>0.99</v>
      </c>
      <c r="E37" s="2017" t="s">
        <v>724</v>
      </c>
      <c r="F37" s="2419" t="str">
        <f t="shared" si="1"/>
        <v>NG</v>
      </c>
      <c r="G37" s="2420"/>
      <c r="L37" s="351"/>
    </row>
    <row r="38" ht="16.5" customHeight="1" spans="2:12">
      <c r="B38" s="2014" t="s">
        <v>732</v>
      </c>
      <c r="C38" s="1827">
        <v>1.8</v>
      </c>
      <c r="D38" s="1943">
        <f>亮度與BLU功耗!J105</f>
        <v>1.86</v>
      </c>
      <c r="E38" s="2017" t="s">
        <v>724</v>
      </c>
      <c r="F38" s="2419" t="str">
        <f t="shared" si="1"/>
        <v>NG</v>
      </c>
      <c r="G38" s="2420"/>
      <c r="L38" s="351"/>
    </row>
    <row r="39" ht="16.5" customHeight="1" spans="2:12">
      <c r="B39" s="2014" t="s">
        <v>733</v>
      </c>
      <c r="C39" s="1827"/>
      <c r="D39" s="1943">
        <f>亮度與BLU功耗!J106</f>
        <v>2.48</v>
      </c>
      <c r="E39" s="2017" t="s">
        <v>724</v>
      </c>
      <c r="F39" s="2419" t="str">
        <f t="shared" si="1"/>
        <v>NG</v>
      </c>
      <c r="G39" s="2420"/>
      <c r="L39" s="351"/>
    </row>
    <row r="40" ht="16.5" customHeight="1" spans="2:12">
      <c r="B40" s="2014" t="s">
        <v>734</v>
      </c>
      <c r="C40" s="1827">
        <v>3.4</v>
      </c>
      <c r="D40" s="1943">
        <f>亮度與BLU功耗!J107</f>
        <v>3.1</v>
      </c>
      <c r="E40" s="2017" t="s">
        <v>724</v>
      </c>
      <c r="F40" s="2419" t="str">
        <f t="shared" si="1"/>
        <v>OK</v>
      </c>
      <c r="G40" s="2420"/>
      <c r="L40" s="351"/>
    </row>
    <row r="41" ht="16.5" customHeight="1" spans="2:10">
      <c r="B41" s="2014" t="s">
        <v>735</v>
      </c>
      <c r="C41" s="1827"/>
      <c r="D41" s="1943"/>
      <c r="E41" s="2017"/>
      <c r="F41" s="2419"/>
      <c r="G41" s="2420"/>
      <c r="H41" t="s">
        <v>736</v>
      </c>
      <c r="I41" t="s">
        <v>737</v>
      </c>
      <c r="J41" s="351" t="s">
        <v>738</v>
      </c>
    </row>
    <row r="42" ht="14.25" customHeight="1" spans="2:10">
      <c r="B42" s="2014" t="s">
        <v>739</v>
      </c>
      <c r="C42" s="1827"/>
      <c r="D42" s="1943"/>
      <c r="E42" s="2017"/>
      <c r="F42" s="2419"/>
      <c r="G42" s="2173"/>
      <c r="I42" t="s">
        <v>737</v>
      </c>
      <c r="J42" s="351" t="s">
        <v>738</v>
      </c>
    </row>
    <row r="43" ht="14.25" customHeight="1" spans="2:12">
      <c r="B43" s="2428" t="s">
        <v>59</v>
      </c>
      <c r="C43" s="1827"/>
      <c r="D43" s="1943"/>
      <c r="E43" s="2017"/>
      <c r="F43" s="2419"/>
      <c r="G43" s="2173"/>
      <c r="J43" t="s">
        <v>740</v>
      </c>
      <c r="L43" s="351" t="s">
        <v>741</v>
      </c>
    </row>
  </sheetData>
  <sheetProtection sheet="1" objects="1" scenarios="1"/>
  <protectedRanges>
    <protectedRange sqref="G6:G30 G32:G43" name="区域2"/>
    <protectedRange sqref="C6:C7 C28:C30 C33:C34 F6:F11 E42:G43 F15:F28 F30 C11:C23 F13 E6:E30 C41:C43 E32:F41" name="区域1"/>
    <protectedRange sqref="C35:C40" name="区域1_1"/>
  </protectedRanges>
  <mergeCells count="23">
    <mergeCell ref="B3:E3"/>
    <mergeCell ref="B5:G5"/>
    <mergeCell ref="B31:G31"/>
    <mergeCell ref="B11:B12"/>
    <mergeCell ref="B13:B14"/>
    <mergeCell ref="B15:B18"/>
    <mergeCell ref="B28:B29"/>
    <mergeCell ref="C11:C12"/>
    <mergeCell ref="C13:C14"/>
    <mergeCell ref="C15:C18"/>
    <mergeCell ref="C28:C29"/>
    <mergeCell ref="F3:F4"/>
    <mergeCell ref="F11:F12"/>
    <mergeCell ref="F13:F14"/>
    <mergeCell ref="F15:F16"/>
    <mergeCell ref="F17:F18"/>
    <mergeCell ref="F28:F29"/>
    <mergeCell ref="G3:G4"/>
    <mergeCell ref="G11:G12"/>
    <mergeCell ref="G13:G14"/>
    <mergeCell ref="G15:G16"/>
    <mergeCell ref="G17:G18"/>
    <mergeCell ref="G28:G29"/>
  </mergeCells>
  <conditionalFormatting sqref="F6">
    <cfRule type="expression" dxfId="0" priority="59">
      <formula>$F$6="OK"</formula>
    </cfRule>
    <cfRule type="expression" dxfId="1" priority="60">
      <formula>$F$6="NG"</formula>
    </cfRule>
  </conditionalFormatting>
  <conditionalFormatting sqref="F7">
    <cfRule type="expression" dxfId="0" priority="57">
      <formula>$F$7="OK"</formula>
    </cfRule>
    <cfRule type="expression" dxfId="1" priority="58">
      <formula>$F$7="NG"</formula>
    </cfRule>
  </conditionalFormatting>
  <conditionalFormatting sqref="F8">
    <cfRule type="expression" dxfId="0" priority="55">
      <formula>$F$8="OK"</formula>
    </cfRule>
    <cfRule type="expression" dxfId="1" priority="56">
      <formula>$F$8="NG"</formula>
    </cfRule>
  </conditionalFormatting>
  <conditionalFormatting sqref="F9">
    <cfRule type="expression" dxfId="0" priority="53">
      <formula>$F$9="OK"</formula>
    </cfRule>
    <cfRule type="expression" dxfId="1" priority="54">
      <formula>$F$9="NG"</formula>
    </cfRule>
  </conditionalFormatting>
  <conditionalFormatting sqref="F10">
    <cfRule type="expression" dxfId="0" priority="51">
      <formula>$F$10="OK"</formula>
    </cfRule>
    <cfRule type="expression" dxfId="1" priority="52">
      <formula>$F$10="NG"</formula>
    </cfRule>
  </conditionalFormatting>
  <conditionalFormatting sqref="F11">
    <cfRule type="expression" dxfId="0" priority="49">
      <formula>$F$11="OK"</formula>
    </cfRule>
    <cfRule type="expression" dxfId="1" priority="50">
      <formula>$F$11="NG"</formula>
    </cfRule>
  </conditionalFormatting>
  <conditionalFormatting sqref="F13">
    <cfRule type="expression" dxfId="0" priority="11">
      <formula>$F$13="OK"</formula>
    </cfRule>
    <cfRule type="expression" dxfId="1" priority="12">
      <formula>$F$13="NG"</formula>
    </cfRule>
  </conditionalFormatting>
  <conditionalFormatting sqref="F15">
    <cfRule type="expression" dxfId="0" priority="47">
      <formula>$F$15="OK"</formula>
    </cfRule>
    <cfRule type="expression" dxfId="1" priority="48">
      <formula>$F$15="NG"</formula>
    </cfRule>
  </conditionalFormatting>
  <conditionalFormatting sqref="F17">
    <cfRule type="expression" dxfId="0" priority="45">
      <formula>$F$17="OK"</formula>
    </cfRule>
    <cfRule type="expression" dxfId="1" priority="46">
      <formula>$F$17="NG"</formula>
    </cfRule>
  </conditionalFormatting>
  <conditionalFormatting sqref="F19">
    <cfRule type="expression" dxfId="0" priority="43">
      <formula>$F$19="OK"</formula>
    </cfRule>
    <cfRule type="expression" dxfId="1" priority="44">
      <formula>$F$19="NG"</formula>
    </cfRule>
  </conditionalFormatting>
  <conditionalFormatting sqref="F20">
    <cfRule type="expression" dxfId="0" priority="41">
      <formula>$F$20="OK"</formula>
    </cfRule>
    <cfRule type="expression" dxfId="1" priority="42">
      <formula>$F$20="NG"</formula>
    </cfRule>
  </conditionalFormatting>
  <conditionalFormatting sqref="F21">
    <cfRule type="expression" dxfId="0" priority="39">
      <formula>$F21="OK"</formula>
    </cfRule>
    <cfRule type="expression" dxfId="1" priority="40">
      <formula>$F21="NG"</formula>
    </cfRule>
  </conditionalFormatting>
  <conditionalFormatting sqref="F22">
    <cfRule type="expression" dxfId="0" priority="37">
      <formula>$F22="OK"</formula>
    </cfRule>
    <cfRule type="expression" dxfId="1" priority="38">
      <formula>$F22="NG"</formula>
    </cfRule>
  </conditionalFormatting>
  <conditionalFormatting sqref="F23">
    <cfRule type="expression" dxfId="0" priority="35">
      <formula>$F23="OK"</formula>
    </cfRule>
    <cfRule type="expression" dxfId="1" priority="36">
      <formula>$F23="NG"</formula>
    </cfRule>
  </conditionalFormatting>
  <conditionalFormatting sqref="F24">
    <cfRule type="expression" dxfId="0" priority="33">
      <formula>$F24="OK"</formula>
    </cfRule>
    <cfRule type="expression" dxfId="1" priority="34">
      <formula>$F24="NG"</formula>
    </cfRule>
  </conditionalFormatting>
  <conditionalFormatting sqref="F25">
    <cfRule type="expression" dxfId="0" priority="31">
      <formula>$F25="OK"</formula>
    </cfRule>
    <cfRule type="expression" dxfId="1" priority="32">
      <formula>$F25="NG"</formula>
    </cfRule>
  </conditionalFormatting>
  <conditionalFormatting sqref="F26">
    <cfRule type="expression" dxfId="0" priority="29">
      <formula>$F26="OK"</formula>
    </cfRule>
    <cfRule type="expression" dxfId="1" priority="30">
      <formula>$F26="NG"</formula>
    </cfRule>
  </conditionalFormatting>
  <conditionalFormatting sqref="F27">
    <cfRule type="expression" dxfId="0" priority="13">
      <formula>$F27="OK"</formula>
    </cfRule>
    <cfRule type="expression" dxfId="1" priority="14">
      <formula>$F27="NG"</formula>
    </cfRule>
  </conditionalFormatting>
  <conditionalFormatting sqref="F28">
    <cfRule type="expression" dxfId="0" priority="27">
      <formula>$F$28="OK"</formula>
    </cfRule>
    <cfRule type="expression" dxfId="1" priority="28">
      <formula>$F$28="NG"</formula>
    </cfRule>
  </conditionalFormatting>
  <conditionalFormatting sqref="F30">
    <cfRule type="expression" dxfId="0" priority="25">
      <formula>$F30="OK"</formula>
    </cfRule>
    <cfRule type="expression" dxfId="1" priority="26">
      <formula>$F30="NG"</formula>
    </cfRule>
  </conditionalFormatting>
  <conditionalFormatting sqref="F32">
    <cfRule type="expression" dxfId="0" priority="21">
      <formula>$F32="OK"</formula>
    </cfRule>
    <cfRule type="expression" dxfId="1" priority="22">
      <formula>$F32="NG"</formula>
    </cfRule>
  </conditionalFormatting>
  <conditionalFormatting sqref="F33">
    <cfRule type="expression" dxfId="0" priority="19">
      <formula>$F33="OK"</formula>
    </cfRule>
    <cfRule type="expression" dxfId="1" priority="20">
      <formula>$F33="NG"</formula>
    </cfRule>
  </conditionalFormatting>
  <conditionalFormatting sqref="F34">
    <cfRule type="expression" dxfId="0" priority="17">
      <formula>$F34="OK"</formula>
    </cfRule>
    <cfRule type="expression" dxfId="1" priority="18">
      <formula>$F34="NG"</formula>
    </cfRule>
  </conditionalFormatting>
  <conditionalFormatting sqref="F35">
    <cfRule type="expression" dxfId="0" priority="15">
      <formula>$F35="OK"</formula>
    </cfRule>
    <cfRule type="expression" dxfId="1" priority="16">
      <formula>$F35="NG"</formula>
    </cfRule>
  </conditionalFormatting>
  <conditionalFormatting sqref="F36">
    <cfRule type="expression" dxfId="0" priority="9">
      <formula>$F36="OK"</formula>
    </cfRule>
    <cfRule type="expression" dxfId="1" priority="10">
      <formula>$F36="NG"</formula>
    </cfRule>
  </conditionalFormatting>
  <conditionalFormatting sqref="F37">
    <cfRule type="expression" dxfId="0" priority="7">
      <formula>$F37="OK"</formula>
    </cfRule>
    <cfRule type="expression" dxfId="1" priority="8">
      <formula>$F37="NG"</formula>
    </cfRule>
  </conditionalFormatting>
  <conditionalFormatting sqref="F38">
    <cfRule type="expression" dxfId="0" priority="5">
      <formula>$F38="OK"</formula>
    </cfRule>
    <cfRule type="expression" dxfId="1" priority="6">
      <formula>$F38="NG"</formula>
    </cfRule>
  </conditionalFormatting>
  <conditionalFormatting sqref="F39">
    <cfRule type="expression" dxfId="0" priority="3">
      <formula>$F39="OK"</formula>
    </cfRule>
    <cfRule type="expression" dxfId="1" priority="4">
      <formula>$F39="NG"</formula>
    </cfRule>
  </conditionalFormatting>
  <conditionalFormatting sqref="F40">
    <cfRule type="expression" dxfId="0" priority="1">
      <formula>$F40="OK"</formula>
    </cfRule>
    <cfRule type="expression" dxfId="1" priority="2">
      <formula>$F40="NG"</formula>
    </cfRule>
  </conditionalFormatting>
  <dataValidations count="1">
    <dataValidation showInputMessage="1" showErrorMessage="1" sqref="D8:D10"/>
  </dataValidations>
  <pageMargins left="0.7" right="0.7" top="0.75" bottom="0.75" header="0.3" footer="0.3"/>
  <pageSetup paperSize="9" orientation="portrait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5">
    <tabColor rgb="FFFFFF00"/>
  </sheetPr>
  <dimension ref="B1:AD108"/>
  <sheetViews>
    <sheetView zoomScale="85" zoomScaleNormal="85" workbookViewId="0">
      <selection activeCell="E33" sqref="E33"/>
    </sheetView>
  </sheetViews>
  <sheetFormatPr defaultColWidth="9" defaultRowHeight="14.4"/>
  <cols>
    <col min="1" max="1" width="1.44444444444444" customWidth="1"/>
    <col min="2" max="2" width="12.4444444444444" customWidth="1"/>
    <col min="3" max="3" width="16.6666666666667" customWidth="1"/>
    <col min="4" max="4" width="25" style="2126" customWidth="1"/>
    <col min="5" max="5" width="29.8888888888889" style="2126" customWidth="1"/>
    <col min="6" max="7" width="19" customWidth="1"/>
    <col min="8" max="8" width="1.44444444444444" customWidth="1"/>
    <col min="9" max="9" width="17.3333333333333" customWidth="1"/>
    <col min="10" max="10" width="16.6666666666667" customWidth="1"/>
    <col min="11" max="11" width="13.8888888888889" customWidth="1"/>
    <col min="12" max="12" width="12.2222222222222" customWidth="1"/>
    <col min="13" max="13" width="9.66666666666667" customWidth="1"/>
    <col min="14" max="14" width="8.77777777777778" customWidth="1"/>
    <col min="15" max="15" width="13.2222222222222" customWidth="1"/>
    <col min="16" max="16" width="15.8888888888889" customWidth="1"/>
    <col min="17" max="17" width="12.4444444444444" hidden="1" customWidth="1"/>
    <col min="18" max="21" width="10.7777777777778" customWidth="1"/>
    <col min="22" max="22" width="12.7777777777778" customWidth="1"/>
    <col min="23" max="23" width="10.8888888888889" customWidth="1"/>
    <col min="24" max="24" width="10.1111111111111" customWidth="1"/>
    <col min="25" max="25" width="10.6666666666667" customWidth="1"/>
    <col min="26" max="28" width="9" customWidth="1"/>
  </cols>
  <sheetData>
    <row r="1" ht="18" customHeight="1" spans="9:12">
      <c r="I1" s="2217"/>
      <c r="J1" s="2217"/>
      <c r="K1" s="2218" t="s">
        <v>50</v>
      </c>
      <c r="L1" s="2218" t="s">
        <v>52</v>
      </c>
    </row>
    <row r="2" spans="2:26">
      <c r="B2" s="2007" t="s">
        <v>651</v>
      </c>
      <c r="C2" s="395"/>
      <c r="I2" s="2219" t="s">
        <v>742</v>
      </c>
      <c r="J2" s="2220"/>
      <c r="K2" s="1818">
        <v>0.313</v>
      </c>
      <c r="L2" s="1818">
        <v>0.329</v>
      </c>
      <c r="W2" s="2316" t="s">
        <v>743</v>
      </c>
      <c r="X2" s="2316" t="s">
        <v>744</v>
      </c>
      <c r="Y2" s="2316" t="s">
        <v>745</v>
      </c>
      <c r="Z2" s="2328" t="s">
        <v>744</v>
      </c>
    </row>
    <row r="3" ht="14.25" customHeight="1" spans="2:26">
      <c r="B3" s="2097" t="s">
        <v>746</v>
      </c>
      <c r="C3" s="2127"/>
      <c r="D3" s="2128" t="s">
        <v>747</v>
      </c>
      <c r="E3" s="2128"/>
      <c r="F3" s="2097"/>
      <c r="G3" s="2097"/>
      <c r="I3" s="2221" t="s">
        <v>748</v>
      </c>
      <c r="J3" s="2222" t="s">
        <v>749</v>
      </c>
      <c r="K3" s="1818">
        <v>0.30702</v>
      </c>
      <c r="L3" s="1818">
        <v>0.33678</v>
      </c>
      <c r="W3" s="2317">
        <v>24</v>
      </c>
      <c r="X3" s="2318" t="s">
        <v>750</v>
      </c>
      <c r="Y3" s="2317">
        <v>12</v>
      </c>
      <c r="Z3" s="2317" t="s">
        <v>751</v>
      </c>
    </row>
    <row r="4" ht="13.5" customHeight="1" spans="2:26">
      <c r="B4" s="2129" t="str">
        <f>IF(Summary!C34="","",Summary!C34)</f>
        <v>sRGB100%</v>
      </c>
      <c r="C4" s="2129"/>
      <c r="D4" s="2130" t="s">
        <v>752</v>
      </c>
      <c r="E4" s="2131" t="s">
        <v>753</v>
      </c>
      <c r="F4" s="2132" t="s">
        <v>754</v>
      </c>
      <c r="G4" s="2133"/>
      <c r="I4" s="2221"/>
      <c r="J4" s="2222" t="s">
        <v>755</v>
      </c>
      <c r="K4" s="2223" t="s">
        <v>756</v>
      </c>
      <c r="L4" s="2224"/>
      <c r="W4" s="2317">
        <v>27</v>
      </c>
      <c r="X4" s="2318" t="s">
        <v>757</v>
      </c>
      <c r="Y4" s="2317">
        <v>15</v>
      </c>
      <c r="Z4" s="2317" t="s">
        <v>758</v>
      </c>
    </row>
    <row r="5" spans="2:26">
      <c r="B5" s="2134" t="s">
        <v>759</v>
      </c>
      <c r="C5" s="2135"/>
      <c r="D5" s="2136" t="s">
        <v>760</v>
      </c>
      <c r="E5" s="2137" t="s">
        <v>761</v>
      </c>
      <c r="F5" s="1007" t="s">
        <v>113</v>
      </c>
      <c r="G5" s="1007"/>
      <c r="I5" s="2221"/>
      <c r="J5" s="2222" t="s">
        <v>762</v>
      </c>
      <c r="K5" s="2223" t="s">
        <v>763</v>
      </c>
      <c r="L5" s="2224"/>
      <c r="W5" s="2317">
        <v>30</v>
      </c>
      <c r="X5" s="2318" t="s">
        <v>764</v>
      </c>
      <c r="Y5" s="2317">
        <v>16</v>
      </c>
      <c r="Z5" s="2317" t="s">
        <v>765</v>
      </c>
    </row>
    <row r="6" ht="15" customHeight="1" spans="2:26">
      <c r="B6" s="2138"/>
      <c r="C6" s="2139"/>
      <c r="D6" s="2140" t="s">
        <v>766</v>
      </c>
      <c r="E6" s="2140" t="s">
        <v>767</v>
      </c>
      <c r="F6" s="2141" t="s">
        <v>768</v>
      </c>
      <c r="G6" s="2141"/>
      <c r="I6" s="2221"/>
      <c r="J6" s="2222" t="s">
        <v>769</v>
      </c>
      <c r="K6" s="2225" t="s">
        <v>770</v>
      </c>
      <c r="L6" s="2226"/>
      <c r="W6" s="2317">
        <v>32</v>
      </c>
      <c r="X6" s="2318" t="s">
        <v>771</v>
      </c>
      <c r="Y6" s="2317">
        <v>18</v>
      </c>
      <c r="Z6" s="2317" t="s">
        <v>772</v>
      </c>
    </row>
    <row r="7" ht="15" customHeight="1" spans="2:28">
      <c r="B7" s="2142" t="s">
        <v>773</v>
      </c>
      <c r="C7" s="2143"/>
      <c r="D7" s="2144"/>
      <c r="E7" s="2145">
        <v>0.0635</v>
      </c>
      <c r="F7" s="2146" t="s">
        <v>774</v>
      </c>
      <c r="G7" s="2141"/>
      <c r="I7" s="2221"/>
      <c r="J7" s="2222" t="s">
        <v>775</v>
      </c>
      <c r="K7" s="2227">
        <v>0.31</v>
      </c>
      <c r="L7" s="2227">
        <v>0.32</v>
      </c>
      <c r="W7" s="2317">
        <v>33</v>
      </c>
      <c r="X7" s="2318" t="s">
        <v>776</v>
      </c>
      <c r="Y7" s="2317">
        <v>20</v>
      </c>
      <c r="Z7" s="2317" t="s">
        <v>777</v>
      </c>
      <c r="AA7" s="63"/>
      <c r="AB7" s="63"/>
    </row>
    <row r="8" ht="15" customHeight="1" spans="2:28">
      <c r="B8" s="2147" t="s">
        <v>778</v>
      </c>
      <c r="C8" s="2148"/>
      <c r="D8" s="2144"/>
      <c r="E8" s="2145" t="s">
        <v>779</v>
      </c>
      <c r="F8" s="2149"/>
      <c r="G8" s="2150"/>
      <c r="I8" s="2221" t="s">
        <v>780</v>
      </c>
      <c r="J8" s="2222" t="s">
        <v>781</v>
      </c>
      <c r="K8" s="2228" t="str">
        <f>E29</f>
        <v>HLS505-03/HS505E</v>
      </c>
      <c r="L8" s="2229"/>
      <c r="W8" s="2317">
        <v>36</v>
      </c>
      <c r="X8" s="2318" t="s">
        <v>782</v>
      </c>
      <c r="Y8" s="2317">
        <v>24</v>
      </c>
      <c r="Z8" s="2317" t="s">
        <v>783</v>
      </c>
      <c r="AA8" s="63"/>
      <c r="AB8" s="63"/>
    </row>
    <row r="9" ht="15" customHeight="1" spans="2:28">
      <c r="B9" s="2151" t="s">
        <v>784</v>
      </c>
      <c r="C9" s="2152"/>
      <c r="D9" s="2144">
        <f>IF(D6="","",量產機種資料!F3)</f>
        <v>0.0495</v>
      </c>
      <c r="E9" s="2144">
        <f>IF(E8="有APF POL",E7*(1+VLOOKUP(E29,棱鏡片選型!C3:G88,4,0)),E7)</f>
        <v>0.06163945</v>
      </c>
      <c r="F9" s="2146" t="s">
        <v>785</v>
      </c>
      <c r="G9" s="2141"/>
      <c r="I9" s="2221"/>
      <c r="J9" s="2222" t="s">
        <v>786</v>
      </c>
      <c r="K9" s="2230" t="str">
        <f>E10</f>
        <v>3006(YAG-展晶)-2.9V MAX-無Zener</v>
      </c>
      <c r="L9" s="2231"/>
      <c r="W9" s="2317">
        <v>40</v>
      </c>
      <c r="X9" s="2318" t="s">
        <v>787</v>
      </c>
      <c r="Y9" s="2317">
        <v>25</v>
      </c>
      <c r="Z9" s="2317" t="s">
        <v>788</v>
      </c>
      <c r="AA9" s="63"/>
      <c r="AB9" s="63"/>
    </row>
    <row r="10" ht="33" customHeight="1" spans="2:28">
      <c r="B10" s="2142" t="s">
        <v>789</v>
      </c>
      <c r="C10" s="2143"/>
      <c r="D10" s="2153" t="str">
        <f>IF(D6="","",量產機種資料!G3)</f>
        <v>3006(KSF+β-sailon(540)-日亞)-無Zener</v>
      </c>
      <c r="E10" s="2154" t="s">
        <v>790</v>
      </c>
      <c r="F10" s="2141" t="s">
        <v>791</v>
      </c>
      <c r="G10" s="2141"/>
      <c r="I10" s="2232" t="s">
        <v>792</v>
      </c>
      <c r="J10" s="2233" t="s">
        <v>793</v>
      </c>
      <c r="K10" s="2234">
        <f>VLOOKUP(K8,棱鏡片選型!C3:T38,17,0)-VLOOKUP(K6,棱鏡片選型!C3:T38,17,0)</f>
        <v>0.0017</v>
      </c>
      <c r="L10" s="2234">
        <f>VLOOKUP(K8,棱鏡片選型!C3:T38,18,0)-VLOOKUP(K6,棱鏡片選型!C3:T38,18,0)</f>
        <v>0.0023</v>
      </c>
      <c r="W10" s="2317">
        <v>44</v>
      </c>
      <c r="X10" s="2318" t="s">
        <v>794</v>
      </c>
      <c r="Y10" s="2317">
        <v>28</v>
      </c>
      <c r="Z10" s="2317" t="s">
        <v>795</v>
      </c>
      <c r="AA10" s="63"/>
      <c r="AB10" s="63"/>
    </row>
    <row r="11" ht="17.25" customHeight="1" spans="2:28">
      <c r="B11" s="2142" t="s">
        <v>796</v>
      </c>
      <c r="C11" s="2143"/>
      <c r="D11" s="2155" t="str">
        <f>IF(D6="","","有")</f>
        <v>有</v>
      </c>
      <c r="E11" s="2156" t="s">
        <v>797</v>
      </c>
      <c r="F11" s="2141"/>
      <c r="G11" s="2141"/>
      <c r="I11" s="2235"/>
      <c r="J11" s="2233" t="s">
        <v>798</v>
      </c>
      <c r="K11" s="2227">
        <v>1.5</v>
      </c>
      <c r="L11" s="2227">
        <v>2</v>
      </c>
      <c r="M11" s="2028"/>
      <c r="N11" s="2028"/>
      <c r="O11" s="2028"/>
      <c r="P11" s="2028"/>
      <c r="Q11" s="2028"/>
      <c r="R11" s="2028"/>
      <c r="W11" s="2317">
        <v>45</v>
      </c>
      <c r="X11" s="2318" t="s">
        <v>799</v>
      </c>
      <c r="Y11" s="2317">
        <v>30</v>
      </c>
      <c r="Z11" s="2317" t="s">
        <v>800</v>
      </c>
      <c r="AA11" s="63"/>
      <c r="AB11" s="63"/>
    </row>
    <row r="12" spans="2:28">
      <c r="B12" s="2142" t="s">
        <v>801</v>
      </c>
      <c r="C12" s="2143"/>
      <c r="D12" s="2157"/>
      <c r="E12" s="2085">
        <f>IF(P31="Not Use",IF(P32="Not Use",IF(P33="Not Use",IF(P34="Not Use",IF(P35="Not Use",IF(P36="Not Use",IF(P37="Not Use",IF(P38="Not Use","",P38),P37),P36),P35),P34),P33),P32),P31)</f>
        <v>67.1130052384091</v>
      </c>
      <c r="F12" s="2158" t="s">
        <v>802</v>
      </c>
      <c r="G12" s="2159"/>
      <c r="I12" s="2236"/>
      <c r="J12" s="2222" t="s">
        <v>803</v>
      </c>
      <c r="K12" s="2237">
        <f>(K7-K2)/K11</f>
        <v>-0.002</v>
      </c>
      <c r="L12" s="2237">
        <f>(L7-L2)/L11</f>
        <v>-0.0045</v>
      </c>
      <c r="W12" s="2317">
        <v>48</v>
      </c>
      <c r="X12" s="2318" t="s">
        <v>804</v>
      </c>
      <c r="Y12" s="2317">
        <v>32</v>
      </c>
      <c r="Z12" s="2317" t="s">
        <v>805</v>
      </c>
      <c r="AA12" s="63"/>
      <c r="AB12" s="63"/>
    </row>
    <row r="13" spans="2:28">
      <c r="B13" s="2142" t="s">
        <v>806</v>
      </c>
      <c r="C13" s="2143"/>
      <c r="D13" s="2157"/>
      <c r="E13" s="2085">
        <f>(E37-(2*J36*TAN(J35*PI()/180)))/(IF(J33=3.1,J36/VLOOKUP(E33,I41:K45,3,0)+1.7,IF(J33=4.2,J36/VLOOKUP(E33,I41:K45,3,0)+1.06,J36/VLOOKUP(E33,I41:K45,3,0))))+1</f>
        <v>47.9835865095908</v>
      </c>
      <c r="F13" s="2160" t="s">
        <v>807</v>
      </c>
      <c r="G13" s="2161"/>
      <c r="I13" s="2221" t="s">
        <v>808</v>
      </c>
      <c r="J13" s="2222" t="s">
        <v>809</v>
      </c>
      <c r="K13" s="2238">
        <f>K3-K12-K10</f>
        <v>0.30732</v>
      </c>
      <c r="L13" s="2238">
        <f>L3-L12-L10</f>
        <v>0.33898</v>
      </c>
      <c r="W13" s="2317">
        <v>50</v>
      </c>
      <c r="X13" s="2318" t="s">
        <v>810</v>
      </c>
      <c r="Y13" s="2317">
        <v>35</v>
      </c>
      <c r="Z13" s="2317" t="s">
        <v>811</v>
      </c>
      <c r="AA13" s="63"/>
      <c r="AB13" s="63"/>
    </row>
    <row r="14" ht="16.5" customHeight="1" spans="2:28">
      <c r="B14" s="2142" t="s">
        <v>299</v>
      </c>
      <c r="C14" s="2143"/>
      <c r="D14" s="2157">
        <f>IF(D6="","",量產機種資料!H3)</f>
        <v>80</v>
      </c>
      <c r="E14" s="1825">
        <f>IF(OR(E16="",E18=""),"",IF(OR(E11="有(2个Driver IC)",E11="无(2个Driver IC)"),(E16+E17)*E18,E16*E18))</f>
        <v>55</v>
      </c>
      <c r="F14" s="2162"/>
      <c r="G14" s="2163">
        <f>IF(E10="","",VLOOKUP(E10,LED選型!B3:H67,2,FALSE)*E14)</f>
        <v>9.9</v>
      </c>
      <c r="I14" s="2221"/>
      <c r="J14" s="2233" t="s">
        <v>812</v>
      </c>
      <c r="K14" s="2239"/>
      <c r="L14" s="2224"/>
      <c r="W14" s="2317">
        <v>54</v>
      </c>
      <c r="X14" s="2318" t="s">
        <v>813</v>
      </c>
      <c r="Y14" s="2317">
        <v>36</v>
      </c>
      <c r="Z14" s="2317" t="s">
        <v>814</v>
      </c>
      <c r="AA14" s="63"/>
      <c r="AB14" s="63"/>
    </row>
    <row r="15" ht="16.5" customHeight="1" spans="2:28">
      <c r="B15" s="2142" t="s">
        <v>815</v>
      </c>
      <c r="C15" s="2143"/>
      <c r="D15" s="1825"/>
      <c r="E15" s="1919" t="str">
        <f>IF(OR(E16="",E18=""),"",IF(OR(E11="有(2个Driver IC)",E11="无(2个Driver IC)"),E16+E17&amp;"*"&amp;E18,E16&amp;"*"&amp;E18))</f>
        <v>5*11</v>
      </c>
      <c r="F15" s="2141" t="str">
        <f>IF(OR(J33=3,J33=3.8),VLOOKUP(INDEX(W3:W17,IFERROR(MATCH(E13,W3:W17),0)+1),W3:X17,2,1),VLOOKUP(INDEX(W3:W17,IFERROR(MATCH(E13,W3:W17),0)+1),Y3:Z25,2,1))</f>
        <v>推荐4*12或6*8</v>
      </c>
      <c r="G15" s="2141"/>
      <c r="I15" s="2221"/>
      <c r="J15" s="2222" t="s">
        <v>816</v>
      </c>
      <c r="K15" s="2239"/>
      <c r="L15" s="2224"/>
      <c r="W15" s="2317">
        <v>55</v>
      </c>
      <c r="X15" s="2318" t="s">
        <v>817</v>
      </c>
      <c r="Y15" s="2317">
        <v>40</v>
      </c>
      <c r="Z15" s="2317" t="s">
        <v>818</v>
      </c>
      <c r="AA15" s="63"/>
      <c r="AB15" s="63"/>
    </row>
    <row r="16" ht="16.5" customHeight="1" spans="2:28">
      <c r="B16" s="2142" t="s">
        <v>819</v>
      </c>
      <c r="C16" s="2143"/>
      <c r="D16" s="1825"/>
      <c r="E16" s="1827">
        <v>5</v>
      </c>
      <c r="F16" s="2164" t="s">
        <v>820</v>
      </c>
      <c r="G16" s="2165"/>
      <c r="I16" s="2240" t="s">
        <v>821</v>
      </c>
      <c r="J16" s="2241"/>
      <c r="K16" s="2241"/>
      <c r="L16" s="2241"/>
      <c r="M16" s="2241"/>
      <c r="N16" s="2241"/>
      <c r="O16" s="2241"/>
      <c r="P16" s="2241"/>
      <c r="Q16" s="2241"/>
      <c r="R16" s="2241"/>
      <c r="S16" s="2241"/>
      <c r="T16" s="2241"/>
      <c r="U16" s="2241"/>
      <c r="W16" s="2317">
        <v>60</v>
      </c>
      <c r="X16" s="2318" t="s">
        <v>822</v>
      </c>
      <c r="Y16" s="2317">
        <v>42</v>
      </c>
      <c r="Z16" s="2317" t="s">
        <v>823</v>
      </c>
      <c r="AA16" s="63"/>
      <c r="AB16" s="63"/>
    </row>
    <row r="17" ht="16.5" customHeight="1" spans="2:28">
      <c r="B17" s="2142" t="s">
        <v>824</v>
      </c>
      <c r="C17" s="2143"/>
      <c r="D17" s="1825"/>
      <c r="E17" s="1827">
        <v>3</v>
      </c>
      <c r="F17" s="2166"/>
      <c r="G17" s="2167"/>
      <c r="I17" s="2043"/>
      <c r="J17" s="2028"/>
      <c r="K17" s="2028"/>
      <c r="L17" s="2028"/>
      <c r="M17" s="2028"/>
      <c r="N17" s="2028"/>
      <c r="O17" s="2028"/>
      <c r="P17" s="2028"/>
      <c r="Q17" s="2028"/>
      <c r="T17" s="2028"/>
      <c r="U17" s="2044"/>
      <c r="W17" s="2317">
        <v>66</v>
      </c>
      <c r="X17" s="2318" t="s">
        <v>825</v>
      </c>
      <c r="Y17" s="2317">
        <v>44</v>
      </c>
      <c r="Z17" s="2317" t="s">
        <v>826</v>
      </c>
      <c r="AA17" s="63"/>
      <c r="AB17" s="63"/>
    </row>
    <row r="18" ht="16.5" customHeight="1" spans="2:28">
      <c r="B18" s="2142" t="s">
        <v>827</v>
      </c>
      <c r="C18" s="2143"/>
      <c r="D18" s="1825"/>
      <c r="E18" s="1827">
        <v>11</v>
      </c>
      <c r="F18" s="2146" t="s">
        <v>828</v>
      </c>
      <c r="G18" s="2141"/>
      <c r="I18" s="2043"/>
      <c r="J18" s="2028"/>
      <c r="K18" s="2028"/>
      <c r="L18" s="2028"/>
      <c r="M18" s="2028"/>
      <c r="N18" s="2028"/>
      <c r="O18" s="2028"/>
      <c r="P18" s="2028"/>
      <c r="Q18" s="2028"/>
      <c r="T18" s="2028"/>
      <c r="U18" s="2044"/>
      <c r="Y18" s="2317">
        <v>45</v>
      </c>
      <c r="Z18" s="2317" t="s">
        <v>829</v>
      </c>
      <c r="AA18" s="63"/>
      <c r="AB18" s="63"/>
    </row>
    <row r="19" ht="15" customHeight="1" spans="2:28">
      <c r="B19" s="2168" t="s">
        <v>830</v>
      </c>
      <c r="C19" s="2169"/>
      <c r="D19" s="1825"/>
      <c r="E19" s="1919">
        <f>IF(J31="无TVS","0",IF(OR(E16="",E18=""),"",IF(E11="有(1个Driver IC)",E16*2+2,IF(E11="有(2个Driver IC)",(E16+E17)*2+4,IF(E11="无(1个Driver IC)",E16*2+2,IF(E11="无(2个Driver IC)",(E16+E17)*2+4))))))</f>
        <v>12</v>
      </c>
      <c r="F19" s="2141" t="s">
        <v>831</v>
      </c>
      <c r="G19" s="2141"/>
      <c r="I19" s="2043"/>
      <c r="J19" s="2028"/>
      <c r="K19" s="2028"/>
      <c r="L19" s="2028"/>
      <c r="M19" s="2028"/>
      <c r="N19" s="2028"/>
      <c r="O19" s="2028"/>
      <c r="P19" s="2028"/>
      <c r="Q19" s="2028"/>
      <c r="T19" s="2028"/>
      <c r="U19" s="2044"/>
      <c r="Y19" s="2317">
        <v>48</v>
      </c>
      <c r="Z19" s="2317" t="s">
        <v>832</v>
      </c>
      <c r="AA19" s="63"/>
      <c r="AB19" s="63"/>
    </row>
    <row r="20" ht="15" customHeight="1" spans="2:28">
      <c r="B20" s="2142" t="s">
        <v>833</v>
      </c>
      <c r="C20" s="2143"/>
      <c r="D20" s="2170">
        <f>IF(D6="","",量產機種資料!I3)</f>
        <v>8.25</v>
      </c>
      <c r="E20" s="2171">
        <v>8.75</v>
      </c>
      <c r="F20" s="2172" t="s">
        <v>834</v>
      </c>
      <c r="G20" s="2173"/>
      <c r="I20" s="2043"/>
      <c r="J20" s="2028"/>
      <c r="K20" s="2028"/>
      <c r="L20" s="2028"/>
      <c r="M20" s="2028"/>
      <c r="N20" s="2028"/>
      <c r="O20" s="2028"/>
      <c r="P20" s="2028"/>
      <c r="Q20" s="2028"/>
      <c r="T20" s="2028"/>
      <c r="U20" s="2044"/>
      <c r="W20" s="2319"/>
      <c r="Y20" s="2317">
        <v>50</v>
      </c>
      <c r="Z20" s="2317" t="s">
        <v>835</v>
      </c>
      <c r="AA20" s="63"/>
      <c r="AB20" s="63"/>
    </row>
    <row r="21" ht="18" customHeight="1" spans="2:28">
      <c r="B21" s="2014" t="s">
        <v>836</v>
      </c>
      <c r="C21" s="2014"/>
      <c r="D21" s="2174">
        <f>IF(D6="","",量產機種資料!J3)</f>
        <v>20.8</v>
      </c>
      <c r="E21" s="2171">
        <v>22</v>
      </c>
      <c r="F21" s="2175">
        <f>IF(OR(E11="",E10=""),"",IF(E11="有(1个Driver IC)",E25/(1+F24)/E14/E22*1000*IF(E11="有(1个Driver IC)",F23,IF(E11="有(2个Driver IC)",F23,1)),IF(E11="有(2个Driver IC)",E25/(1+F24)/(E16*E18/IF(E11="有(1个Driver IC)",F23,IF(E11="有(2个Driver IC)",F23,1))+E17*E18/IF(E11="有(2个Driver IC)",G23,0))/E22*1000,IF(E11="无(1个Driver IC)",E25/(1+F24)/E14/E22*1000,E25/(1+F24)/E14/E22*1000))))</f>
        <v>19.8959711374016</v>
      </c>
      <c r="G21" s="2176" t="s">
        <v>837</v>
      </c>
      <c r="I21" s="2043"/>
      <c r="J21" s="2028"/>
      <c r="K21" s="2028"/>
      <c r="L21" s="2028"/>
      <c r="M21" s="2028"/>
      <c r="N21" s="2028"/>
      <c r="O21" s="2028"/>
      <c r="P21" s="2028"/>
      <c r="Q21" s="2028"/>
      <c r="T21" s="2028"/>
      <c r="U21" s="2044"/>
      <c r="Y21" s="2317">
        <v>54</v>
      </c>
      <c r="Z21" s="2317" t="s">
        <v>838</v>
      </c>
      <c r="AA21" s="63"/>
      <c r="AB21" s="63"/>
    </row>
    <row r="22" ht="15" customHeight="1" spans="2:28">
      <c r="B22" s="2142" t="s">
        <v>839</v>
      </c>
      <c r="C22" s="2143"/>
      <c r="D22" s="2155"/>
      <c r="E22" s="2155">
        <f>'LED-電流與最大電壓'!F2</f>
        <v>2.93</v>
      </c>
      <c r="F22" s="2162" t="s">
        <v>840</v>
      </c>
      <c r="G22" s="2162"/>
      <c r="I22" s="2043"/>
      <c r="J22" s="2028"/>
      <c r="K22" s="2028"/>
      <c r="L22" s="2028"/>
      <c r="M22" s="2028"/>
      <c r="N22" s="2028"/>
      <c r="O22" s="2028"/>
      <c r="P22" s="2028"/>
      <c r="Q22" s="2028"/>
      <c r="T22" s="2028"/>
      <c r="U22" s="2044"/>
      <c r="Y22" s="2317">
        <v>55</v>
      </c>
      <c r="Z22" s="2317" t="s">
        <v>841</v>
      </c>
      <c r="AA22" s="63"/>
      <c r="AB22" s="63"/>
    </row>
    <row r="23" spans="2:28">
      <c r="B23" s="2142" t="s">
        <v>842</v>
      </c>
      <c r="C23" s="2143"/>
      <c r="D23" s="2155"/>
      <c r="E23" s="2155">
        <f>IF(OR(E11="",E10=""),"",IF(E11="有(1个Driver IC)",E16*E18*E21*E22/IF(E11="有(1个Driver IC)",F23,IF(E11="有(2个Driver IC)",F23,1))/1000,IF(E11="有(2个Driver IC)",E16*E18*E21*E22/IF(E11="有(1个Driver IC)",F23,IF(E11="有(2个Driver IC)",F23,1))/1000+E17*E18*E21*E22/IF(E11="有(2个Driver IC)",G23,0)/1000,IF(E11="无(1个Driver IC)",E16*E18*E21*E22/1000,(E16+E17)*E18*E21*E22/1000))))</f>
        <v>3.867459365114</v>
      </c>
      <c r="F23" s="2177">
        <f>IF(J33=4.2,'LED Driver 效率_100%'!F30,IF(J33=3.1,'LED Driver 效率_100%'!F58,'LED Driver 效率_100%'!F2))</f>
        <v>0.9167</v>
      </c>
      <c r="G23" s="2177">
        <f>IF(J33=4.2,'LED Driver 效率_100%'!K30,IF(J33=3.1,'LED Driver 效率_100%'!K58,'LED Driver 效率_100%'!K2))</f>
        <v>0.8951</v>
      </c>
      <c r="I23" s="2043"/>
      <c r="J23" s="2028"/>
      <c r="K23" s="2028"/>
      <c r="L23" s="2028"/>
      <c r="M23" s="2028"/>
      <c r="N23" s="2028"/>
      <c r="O23" s="2028"/>
      <c r="P23" s="2028"/>
      <c r="Q23" s="2028"/>
      <c r="T23" s="2028"/>
      <c r="U23" s="2044"/>
      <c r="Y23" s="2317">
        <v>60</v>
      </c>
      <c r="Z23" s="2317" t="s">
        <v>843</v>
      </c>
      <c r="AA23" s="63"/>
      <c r="AB23" s="63"/>
    </row>
    <row r="24" spans="2:28">
      <c r="B24" s="2142" t="s">
        <v>844</v>
      </c>
      <c r="C24" s="2143"/>
      <c r="D24" s="2178"/>
      <c r="E24" s="2179">
        <f>K78</f>
        <v>4.00282044289299</v>
      </c>
      <c r="F24" s="2180">
        <f>J78</f>
        <v>0.035</v>
      </c>
      <c r="G24" s="2181"/>
      <c r="I24" s="2043"/>
      <c r="J24" s="2028"/>
      <c r="K24" s="2028"/>
      <c r="L24" s="2028"/>
      <c r="M24" s="2028"/>
      <c r="N24" s="2028"/>
      <c r="O24" s="2028"/>
      <c r="P24" s="2028"/>
      <c r="Q24" s="2028"/>
      <c r="T24" s="2028"/>
      <c r="U24" s="2044"/>
      <c r="Y24" s="2317">
        <v>66</v>
      </c>
      <c r="Z24" s="2317" t="s">
        <v>845</v>
      </c>
      <c r="AA24" s="63"/>
      <c r="AB24" s="63"/>
    </row>
    <row r="25" spans="2:28">
      <c r="B25" s="2134" t="s">
        <v>846</v>
      </c>
      <c r="C25" s="2182"/>
      <c r="D25" s="2182"/>
      <c r="E25" s="2183">
        <f>Summary!C35</f>
        <v>3.62</v>
      </c>
      <c r="F25" s="2173"/>
      <c r="G25" s="2173"/>
      <c r="I25" s="2043"/>
      <c r="J25" s="2028"/>
      <c r="K25" s="2028"/>
      <c r="L25" s="2028"/>
      <c r="M25" s="2028"/>
      <c r="N25" s="2028"/>
      <c r="O25" s="2028"/>
      <c r="P25" s="2028"/>
      <c r="Q25" s="2028"/>
      <c r="T25" s="2028"/>
      <c r="U25" s="2044"/>
      <c r="Y25" s="2317">
        <v>72</v>
      </c>
      <c r="Z25" s="2317" t="s">
        <v>847</v>
      </c>
      <c r="AA25" s="63"/>
      <c r="AB25" s="63"/>
    </row>
    <row r="26" ht="16.5" customHeight="1" spans="2:21">
      <c r="B26" s="2134" t="s">
        <v>848</v>
      </c>
      <c r="C26" s="2182"/>
      <c r="D26" s="2182"/>
      <c r="E26" s="2179" t="str">
        <f>IF(OR(E24="",E25="",E25=0),"",IF(E24&lt;E25,"OK",IF(E24&gt;E25,"不滿足客戶規格")))</f>
        <v>不滿足客戶規格</v>
      </c>
      <c r="F26" s="2184"/>
      <c r="G26" s="2184"/>
      <c r="I26" s="2043"/>
      <c r="J26" s="2028"/>
      <c r="K26" s="2028"/>
      <c r="L26" s="2028"/>
      <c r="M26" s="2028"/>
      <c r="N26" s="2028"/>
      <c r="O26" s="2028"/>
      <c r="P26" s="2028"/>
      <c r="Q26" s="2028"/>
      <c r="T26" s="2028"/>
      <c r="U26" s="2044"/>
    </row>
    <row r="27" ht="15.75" customHeight="1" spans="2:21">
      <c r="B27" s="2185" t="s">
        <v>849</v>
      </c>
      <c r="C27" s="2014" t="s">
        <v>850</v>
      </c>
      <c r="D27" s="2155" t="str">
        <f>IF(D6="","",量產機種資料!M3)</f>
        <v>JS568HK</v>
      </c>
      <c r="E27" s="2140" t="s">
        <v>851</v>
      </c>
      <c r="F27" s="2186">
        <f>IF(OR(D28="",E28=""),"",E28/D28)</f>
        <v>0.987634580535124</v>
      </c>
      <c r="G27" s="2163">
        <f>IF(E27="",0,VLOOKUP(E27,'U-Diff.選型'!B3:K99,8,0))</f>
        <v>4.5</v>
      </c>
      <c r="I27" s="2242" t="s">
        <v>852</v>
      </c>
      <c r="J27" s="2243"/>
      <c r="K27" s="2244" t="s">
        <v>853</v>
      </c>
      <c r="L27" s="2028"/>
      <c r="M27" s="2245"/>
      <c r="N27" s="2028"/>
      <c r="O27" s="2028"/>
      <c r="P27" s="2028"/>
      <c r="Q27" s="2028"/>
      <c r="T27" s="2028"/>
      <c r="U27" s="2044"/>
    </row>
    <row r="28" ht="21.75" hidden="1" customHeight="1" spans="2:21">
      <c r="B28" s="2187"/>
      <c r="C28" s="2014"/>
      <c r="D28" s="2179">
        <f>IF(D27="","",IF(D27="-",1,VLOOKUP(D27,'U-Diff.選型'!B3:H11,7,0)))</f>
        <v>0.9381</v>
      </c>
      <c r="E28" s="2188">
        <f>IF(E27="",1,VLOOKUP(E27,'U-Diff.選型'!B3:H13,7,0))</f>
        <v>0.9265</v>
      </c>
      <c r="F28" s="2189" t="s">
        <v>854</v>
      </c>
      <c r="G28" s="2189"/>
      <c r="I28" s="2043"/>
      <c r="J28" s="2246">
        <f>IF(E4="Bent胶框外凸",J29,0)</f>
        <v>0.75</v>
      </c>
      <c r="K28" s="152">
        <f>IF(E4="Bent胶框外凸",0,Outline_X_and_Y!T16+Outline_X_and_Y!T17)</f>
        <v>0</v>
      </c>
      <c r="L28" s="2028"/>
      <c r="M28" s="2028"/>
      <c r="N28" s="2028"/>
      <c r="O28" s="2028"/>
      <c r="P28" s="2028"/>
      <c r="Q28" s="2028"/>
      <c r="R28" s="784">
        <v>3</v>
      </c>
      <c r="S28" s="784">
        <v>3.8</v>
      </c>
      <c r="T28" s="2246">
        <v>4.2</v>
      </c>
      <c r="U28" s="2320">
        <v>3.1</v>
      </c>
    </row>
    <row r="29" ht="12" customHeight="1" spans="2:21">
      <c r="B29" s="1996"/>
      <c r="C29" s="2014" t="s">
        <v>855</v>
      </c>
      <c r="D29" s="2179" t="str">
        <f>IF(D6="","",量產機種資料!N3)</f>
        <v>HLS504-03/HS504E</v>
      </c>
      <c r="E29" s="2190" t="s">
        <v>856</v>
      </c>
      <c r="F29" s="2186">
        <f>IF(OR(D29="",E29=""),"",VLOOKUP(E29,棱鏡片選型!C3:I87,5,0)/(VLOOKUP(D29,棱鏡片選型!C3:I87,5,0)))</f>
        <v>1.01580796252927</v>
      </c>
      <c r="G29" s="2191">
        <f>VLOOKUP(E29,棱鏡片選型!C3:U87,6,0)</f>
        <v>7.5</v>
      </c>
      <c r="I29" s="2247" t="s">
        <v>857</v>
      </c>
      <c r="J29" s="2082">
        <v>0.75</v>
      </c>
      <c r="K29" s="2248">
        <v>0.75</v>
      </c>
      <c r="L29" s="2249" t="s">
        <v>858</v>
      </c>
      <c r="M29" s="2250"/>
      <c r="N29" s="2250"/>
      <c r="O29" s="2250"/>
      <c r="P29" s="2251"/>
      <c r="Q29" s="2251"/>
      <c r="R29" s="2255" t="s">
        <v>859</v>
      </c>
      <c r="S29" s="2255"/>
      <c r="T29" s="2255"/>
      <c r="U29" s="2255"/>
    </row>
    <row r="30" ht="12" customHeight="1" spans="2:21">
      <c r="B30" s="1996"/>
      <c r="C30" s="2014" t="s">
        <v>860</v>
      </c>
      <c r="D30" s="2192"/>
      <c r="E30" s="2193"/>
      <c r="F30" s="2194"/>
      <c r="G30" s="2195"/>
      <c r="I30" s="2038" t="s">
        <v>293</v>
      </c>
      <c r="J30" s="2082">
        <v>0.4</v>
      </c>
      <c r="K30" s="2252">
        <f>INDEX(R31:U38,MATCH(J31,Q31:Q38,0),MATCH(J33,R28:U28,0))</f>
        <v>0.4</v>
      </c>
      <c r="L30" s="2253" t="s">
        <v>861</v>
      </c>
      <c r="M30" s="2254"/>
      <c r="N30" s="2255" t="s">
        <v>862</v>
      </c>
      <c r="O30" s="2255" t="s">
        <v>863</v>
      </c>
      <c r="P30" s="2255" t="s">
        <v>864</v>
      </c>
      <c r="Q30" s="2321"/>
      <c r="R30" s="2321">
        <v>3006</v>
      </c>
      <c r="S30" s="2321">
        <v>3806</v>
      </c>
      <c r="T30" s="2321">
        <v>4206</v>
      </c>
      <c r="U30" s="2322">
        <v>3105</v>
      </c>
    </row>
    <row r="31" ht="15.75" customHeight="1" spans="2:21">
      <c r="B31" s="1996"/>
      <c r="C31" s="2014" t="s">
        <v>865</v>
      </c>
      <c r="D31" s="2155" t="str">
        <f>IF(D6="","",量產機種資料!O3)</f>
        <v>CH196NU</v>
      </c>
      <c r="E31" s="2140" t="s">
        <v>866</v>
      </c>
      <c r="F31" s="2186">
        <f>IF(OR(D31="",E31=""),"",VLOOKUP(E31,'D-Diff.選型'!B2:F95,5,0)/(VLOOKUP(D31,'D-Diff.選型'!B2:F95,5,0)))</f>
        <v>0.990637450199203</v>
      </c>
      <c r="G31" s="2163">
        <f>VLOOKUP(E31,'D-Diff.選型'!B2:H95,6,0)</f>
        <v>2.5</v>
      </c>
      <c r="I31" s="2256" t="s">
        <v>867</v>
      </c>
      <c r="J31" s="2257" t="s">
        <v>868</v>
      </c>
      <c r="K31" s="2028"/>
      <c r="L31" s="2258" t="s">
        <v>869</v>
      </c>
      <c r="M31" s="2258"/>
      <c r="N31" s="2258"/>
      <c r="O31" s="1990">
        <f>IF(J33=3.1,1.9,2.1)</f>
        <v>2.1</v>
      </c>
      <c r="P31" s="2259" t="str">
        <f>IF(OR(E14="",E37="",E10="",J36&lt;0,E36=""),"",IF(OR(AND(E36="是(Normal)",J31="LED之间横放"),AND(E36="否(Normal)",J31="LED之间横放")),((E37-(2*J36*TAN(J35*PI()/180)))/(J33+O31)+1),"Not Use"))</f>
        <v>Not Use</v>
      </c>
      <c r="Q31" s="2321" t="s">
        <v>870</v>
      </c>
      <c r="R31" s="1990">
        <v>0.4</v>
      </c>
      <c r="S31" s="1990">
        <v>0.4</v>
      </c>
      <c r="T31" s="1990">
        <v>0.4</v>
      </c>
      <c r="U31" s="2323">
        <v>0.5</v>
      </c>
    </row>
    <row r="32" ht="15" customHeight="1" spans="2:21">
      <c r="B32" s="1998"/>
      <c r="C32" s="2014" t="s">
        <v>102</v>
      </c>
      <c r="D32" s="2155" t="str">
        <f>IF(D6="","",量產機種資料!P3)</f>
        <v>EST100BS</v>
      </c>
      <c r="E32" s="2140" t="s">
        <v>871</v>
      </c>
      <c r="F32" s="2186">
        <f>IF(OR(D32="",E32=""),"",VLOOKUP(E32,Ref.選型!B2:E106,4,0)/(VLOOKUP(D32,Ref.選型!B2:E106,4,0)))</f>
        <v>0.997</v>
      </c>
      <c r="G32" s="2163">
        <f>VLOOKUP(E32,Ref.選型!B2:H106,5,0)</f>
        <v>1.5</v>
      </c>
      <c r="I32" s="2038" t="s">
        <v>296</v>
      </c>
      <c r="J32" s="2260">
        <f>IF(E10="","",VLOOKUP(E10,LED選型!B3:H67,6,FALSE))</f>
        <v>0.85</v>
      </c>
      <c r="K32" s="2028"/>
      <c r="L32" s="2258" t="s">
        <v>872</v>
      </c>
      <c r="M32" s="2258"/>
      <c r="N32" s="2258"/>
      <c r="O32" s="1990">
        <f>IF(J33=3.1,1.2,1.4)</f>
        <v>1.4</v>
      </c>
      <c r="P32" s="2259" t="str">
        <f>IF(OR(E14="",E37="",E10="",J36&lt;0,E36=""),"",IF(OR(AND(E36="是(Normal)",J31="LED之间竖放"),AND(E36="否(Normal)",J31="LED之间竖放")),((E37-(2*J36*TAN(J35*PI()/180)))/(J33+O32)+1),"Not Use"))</f>
        <v>Not Use</v>
      </c>
      <c r="Q32" s="2321" t="s">
        <v>873</v>
      </c>
      <c r="R32" s="1990">
        <v>0.95</v>
      </c>
      <c r="S32" s="1990">
        <v>0.95</v>
      </c>
      <c r="T32" s="1990">
        <v>0.8</v>
      </c>
      <c r="U32" s="2323">
        <v>1.15</v>
      </c>
    </row>
    <row r="33" customHeight="1" spans="2:21">
      <c r="B33" s="2142" t="s">
        <v>874</v>
      </c>
      <c r="C33" s="2143"/>
      <c r="D33" s="2155" t="str">
        <f>IF(D6="","",量產機種資料!Q3)</f>
        <v>V-Cut</v>
      </c>
      <c r="E33" s="2156" t="s">
        <v>875</v>
      </c>
      <c r="F33" s="2141" t="s">
        <v>876</v>
      </c>
      <c r="G33" s="2196"/>
      <c r="I33" s="2038" t="s">
        <v>297</v>
      </c>
      <c r="J33" s="2260">
        <f>IF(E10="","",VLOOKUP(E10,LED選型!B3:H67,5,FALSE))</f>
        <v>3</v>
      </c>
      <c r="K33" s="2028"/>
      <c r="L33" s="2258" t="s">
        <v>877</v>
      </c>
      <c r="M33" s="2258"/>
      <c r="N33" s="2258"/>
      <c r="O33" s="1990">
        <f>IF(J33=3.1,0.8,0.5)</f>
        <v>0.5</v>
      </c>
      <c r="P33" s="2259" t="str">
        <f>IF(OR(E14="",E37="",E10="",J36&lt;0,E36=""),"",IF(OR(AND(E36="是(Normal)",J31="LED后面横放"),AND(E36="否(Normal)",J31="LED后面横放")),((E37-(2*J36*TAN(J35*PI()/180)))/(J33+O33)+1),"Not Use"))</f>
        <v>Not Use</v>
      </c>
      <c r="Q33" s="2321" t="s">
        <v>878</v>
      </c>
      <c r="R33" s="1990">
        <v>1.2</v>
      </c>
      <c r="S33" s="1990">
        <v>1.2</v>
      </c>
      <c r="T33" s="1990">
        <v>1.2</v>
      </c>
      <c r="U33" s="2323">
        <v>1.3</v>
      </c>
    </row>
    <row r="34" customHeight="1" spans="2:21">
      <c r="B34" s="2142" t="s">
        <v>879</v>
      </c>
      <c r="C34" s="2143"/>
      <c r="D34" s="2170">
        <f>IF(D6="","",量產機種資料!R3)</f>
        <v>0.5</v>
      </c>
      <c r="E34" s="2171">
        <v>0.5</v>
      </c>
      <c r="F34" s="2197" t="s">
        <v>880</v>
      </c>
      <c r="G34" s="2163">
        <f>'LGP '!C4</f>
        <v>7</v>
      </c>
      <c r="I34" s="2038" t="s">
        <v>299</v>
      </c>
      <c r="J34" s="2260">
        <f>IF(E14="","",E14)</f>
        <v>55</v>
      </c>
      <c r="K34" s="2028"/>
      <c r="L34" s="2258" t="s">
        <v>881</v>
      </c>
      <c r="M34" s="2258"/>
      <c r="N34" s="2258"/>
      <c r="O34" s="1990">
        <f>IF(J33=3.1,1.9,2.1)</f>
        <v>2.1</v>
      </c>
      <c r="P34" s="2259">
        <f>IF(OR(E14="",E37="",E10="",J36&lt;0,E36=""),"",IF(OR(AND(E36="是(LB與LGP固定)",J31="LED之间横放"),AND(E36="否(LB與LGP固定)",J31="LED之间横放")),((E37-(2*J36*TAN(J35*PI()/180)))/(J33+O34)+1),"Not Use"))</f>
        <v>67.1130052384091</v>
      </c>
      <c r="Q34" s="2321"/>
      <c r="R34" s="1990"/>
      <c r="S34" s="1990"/>
      <c r="T34" s="1990"/>
      <c r="U34" s="2323"/>
    </row>
    <row r="35" customHeight="1" spans="2:21">
      <c r="B35" s="2142" t="s">
        <v>882</v>
      </c>
      <c r="C35" s="2198"/>
      <c r="D35" s="2170" t="str">
        <f>量產機種資料!AC3</f>
        <v>PC 白</v>
      </c>
      <c r="E35" s="2171" t="s">
        <v>883</v>
      </c>
      <c r="F35" s="1938">
        <f>IF(OR(D35="",E35=""),"",VLOOKUP(E35,S49:T51,2,0)/(VLOOKUP(D35,S49:T51,2,0)))</f>
        <v>1</v>
      </c>
      <c r="G35" s="2199"/>
      <c r="I35" s="2038" t="s">
        <v>300</v>
      </c>
      <c r="J35" s="2082">
        <v>30</v>
      </c>
      <c r="K35" s="2261" t="s">
        <v>884</v>
      </c>
      <c r="L35" s="2258" t="s">
        <v>885</v>
      </c>
      <c r="M35" s="2258"/>
      <c r="N35" s="2258"/>
      <c r="O35" s="1990">
        <f>IF(J33=3.1,1.2,1.4)</f>
        <v>1.4</v>
      </c>
      <c r="P35" s="2259" t="str">
        <f>IF(OR(E14="",E37="",E10="",J36&lt;0,E36=""),"",IF(OR(AND(E36="是(LB與LGP固定)",J31="LED之间竖放"),AND(E36="否(LB與LGP固定)",J31="LED之间竖放")),((E37-(2*J36*TAN(J35*PI()/180)))/(J33+O35)+1),"Not Use"))</f>
        <v>Not Use</v>
      </c>
      <c r="Q35" s="2321"/>
      <c r="R35" s="1990"/>
      <c r="S35" s="1990"/>
      <c r="T35" s="1990"/>
      <c r="U35" s="2323"/>
    </row>
    <row r="36" customHeight="1" spans="2:21">
      <c r="B36" s="2142" t="s">
        <v>886</v>
      </c>
      <c r="C36" s="2143"/>
      <c r="D36" s="2155" t="str">
        <f>IF(D6="","",量產機種資料!S3)</f>
        <v>是(Normal)</v>
      </c>
      <c r="E36" s="2156" t="s">
        <v>887</v>
      </c>
      <c r="F36" s="2141" t="s">
        <v>888</v>
      </c>
      <c r="G36" s="2141"/>
      <c r="I36" s="2038" t="s">
        <v>889</v>
      </c>
      <c r="J36" s="2262">
        <f>IF(OR(E10="",J31=""),"",Outline_X_and_Y!M13-'Thickness &amp; Weight'!C19-'Thickness &amp; Weight'!C17-0.1-J28-J30-J32)</f>
        <v>6.1</v>
      </c>
      <c r="K36" s="2261"/>
      <c r="L36" s="2258" t="s">
        <v>890</v>
      </c>
      <c r="M36" s="2258"/>
      <c r="N36" s="2258"/>
      <c r="O36" s="1990">
        <v>0.56</v>
      </c>
      <c r="P36" s="2259" t="str">
        <f>IF(OR(E14="",E37="",E10="",J36&lt;0,E36=""),"",IF(OR(AND(E36="是(LB與LGP固定)",J31="LED后面横放"),AND(E36="否(LB與LGP固定)",J31="LED后面横放")),((E37-(2*J36*TAN(J35*PI()/180)))/(J33+O36)+1),"Not Use"))</f>
        <v>Not Use</v>
      </c>
      <c r="Q36" s="2321"/>
      <c r="R36" s="1990"/>
      <c r="S36" s="1990"/>
      <c r="T36" s="1990"/>
      <c r="U36" s="2323"/>
    </row>
    <row r="37" customHeight="1" spans="2:21">
      <c r="B37" s="2142" t="s">
        <v>891</v>
      </c>
      <c r="C37" s="2143"/>
      <c r="D37" s="2200" t="str">
        <f>IF(D6="","",量產機種資料!T3)</f>
        <v>309.31</v>
      </c>
      <c r="E37" s="2201">
        <v>344.22</v>
      </c>
      <c r="F37" s="2141" t="s">
        <v>892</v>
      </c>
      <c r="G37" s="2141"/>
      <c r="I37" s="2038" t="s">
        <v>306</v>
      </c>
      <c r="J37" s="2263">
        <f>IF(OR(E14="",E37="",E10="",J36&lt;0),"",((E37-(2*J36*TAN(J35*PI()/180)))/(E14-1)))</f>
        <v>6.2440060502942</v>
      </c>
      <c r="K37" s="2261"/>
      <c r="L37" s="2258" t="s">
        <v>893</v>
      </c>
      <c r="M37" s="2258"/>
      <c r="N37" s="2258"/>
      <c r="O37" s="1990">
        <f>IF(J33=3.1,1,0.5)</f>
        <v>0.5</v>
      </c>
      <c r="P37" s="2259" t="str">
        <f>IF(OR(E14="",E37="",E10="",J36&lt;0,E36=""),"",IF(OR(AND(E36="是(Normal)",J31="无TVS"),AND(E36="否(Normal)",J31="无TVS")),((E37-(2*J36*TAN(J35*PI()/180)))/(J33+O37)+1),"Not Use"))</f>
        <v>Not Use</v>
      </c>
      <c r="Q37" s="2324"/>
      <c r="R37" s="1990"/>
      <c r="S37" s="1990"/>
      <c r="T37" s="1990"/>
      <c r="U37" s="2323"/>
    </row>
    <row r="38" customHeight="1" spans="2:21">
      <c r="B38" s="2142" t="s">
        <v>894</v>
      </c>
      <c r="C38" s="2143"/>
      <c r="D38" s="2200" t="str">
        <f>IF(D6="","",量產機種資料!U3)</f>
        <v>173.99</v>
      </c>
      <c r="E38" s="2201">
        <v>196.3</v>
      </c>
      <c r="F38" s="2141"/>
      <c r="G38" s="2141"/>
      <c r="I38" s="2264" t="s">
        <v>895</v>
      </c>
      <c r="J38" s="2265">
        <f>IF(J33=3.1,J36/(J37-1.7),J36/J37)</f>
        <v>0.976936913716249</v>
      </c>
      <c r="K38" s="2261"/>
      <c r="L38" s="2266" t="s">
        <v>896</v>
      </c>
      <c r="M38" s="2267"/>
      <c r="N38" s="2268"/>
      <c r="O38" s="2269">
        <v>0.56</v>
      </c>
      <c r="P38" s="2270" t="str">
        <f>IF(OR(E14="",E37="",E10="",J36&lt;0,E36=""),"",IF(OR(AND(E36="是(LB與LGP固定)",J31="无TVS"),AND(E36="否(LB與LGP固定)",J31="无TVS")),((E37-(2*J36*TAN(J35*PI()/180)))/(J33+O38)+1),"Not Use"))</f>
        <v>Not Use</v>
      </c>
      <c r="Q38" s="2325" t="s">
        <v>897</v>
      </c>
      <c r="R38" s="2269">
        <v>0.4</v>
      </c>
      <c r="S38" s="2269">
        <v>0.4</v>
      </c>
      <c r="T38" s="2269">
        <v>0.4</v>
      </c>
      <c r="U38" s="2326">
        <v>0.5</v>
      </c>
    </row>
    <row r="39" customHeight="1" spans="2:7">
      <c r="B39" s="2142" t="s">
        <v>898</v>
      </c>
      <c r="C39" s="2143"/>
      <c r="D39" s="2202">
        <v>1</v>
      </c>
      <c r="E39" s="2155">
        <f>IF(OR(D37="",D38="",E37="",E38=""),"",(D37*D38)/(E37*E38))</f>
        <v>0.796456111705504</v>
      </c>
      <c r="F39" s="2173"/>
      <c r="G39" s="2173"/>
    </row>
    <row r="40" customHeight="1" spans="2:11">
      <c r="B40" s="2142" t="s">
        <v>899</v>
      </c>
      <c r="C40" s="2143"/>
      <c r="D40" s="2202">
        <v>1</v>
      </c>
      <c r="E40" s="2155">
        <f>IF(E41="","",E41/D41)</f>
        <v>1.05555555555556</v>
      </c>
      <c r="F40" s="2173"/>
      <c r="G40" s="2173"/>
      <c r="I40" s="2271" t="s">
        <v>874</v>
      </c>
      <c r="J40" s="2093" t="s">
        <v>900</v>
      </c>
      <c r="K40" s="2093" t="s">
        <v>901</v>
      </c>
    </row>
    <row r="41" customHeight="1" spans="2:18">
      <c r="B41" s="2203"/>
      <c r="C41" s="2148"/>
      <c r="D41" s="2202">
        <f>IF(D36="",1,IF(D36="是(Normal)",1-R43,IF(D36="是(LB與LGP固定)",1-R42,1)))</f>
        <v>0.9</v>
      </c>
      <c r="E41" s="2155">
        <f>IF(E36="","",IF(E36="是(Normal)",1-R43,IF(E36="是(LB與LGP固定)",1-R42,1)))</f>
        <v>0.95</v>
      </c>
      <c r="F41" s="2141" t="s">
        <v>902</v>
      </c>
      <c r="G41" s="2141"/>
      <c r="I41" s="1990" t="s">
        <v>875</v>
      </c>
      <c r="J41" s="1990">
        <v>1.04</v>
      </c>
      <c r="K41" s="2272">
        <v>0.85</v>
      </c>
      <c r="O41" s="1990" t="s">
        <v>903</v>
      </c>
      <c r="P41" s="1990"/>
      <c r="Q41" s="1990"/>
      <c r="R41" s="1990" t="s">
        <v>904</v>
      </c>
    </row>
    <row r="42" customHeight="1" spans="2:18">
      <c r="B42" s="2142" t="s">
        <v>905</v>
      </c>
      <c r="C42" s="2143"/>
      <c r="D42" s="2202">
        <v>1</v>
      </c>
      <c r="E42" s="2155">
        <f>IF(OR(E21="",D21="",E14="",D14="",E20="",D20=""),"",E21*E14*E20/D21/D20/D14)</f>
        <v>0.771233974358974</v>
      </c>
      <c r="F42" s="2173"/>
      <c r="G42" s="2173"/>
      <c r="I42" s="1990" t="s">
        <v>906</v>
      </c>
      <c r="J42" s="1990">
        <v>1</v>
      </c>
      <c r="K42" s="2272">
        <v>0.65</v>
      </c>
      <c r="O42" s="358" t="s">
        <v>907</v>
      </c>
      <c r="P42" s="2273"/>
      <c r="Q42" s="2273"/>
      <c r="R42" s="2255">
        <v>0.05</v>
      </c>
    </row>
    <row r="43" customHeight="1" spans="2:18">
      <c r="B43" s="2142" t="s">
        <v>908</v>
      </c>
      <c r="C43" s="2143"/>
      <c r="D43" s="2202">
        <v>1</v>
      </c>
      <c r="E43" s="2155">
        <f>IF(OR(F27="",F29="",F31="",F32=""),"",F27*F29*F31*F32)</f>
        <v>0.990872557951378</v>
      </c>
      <c r="F43" s="2173"/>
      <c r="G43" s="2173"/>
      <c r="H43" t="s">
        <v>736</v>
      </c>
      <c r="I43" s="1990" t="s">
        <v>909</v>
      </c>
      <c r="J43" s="1990">
        <v>1.13</v>
      </c>
      <c r="K43" s="2272">
        <v>1.2</v>
      </c>
      <c r="O43" s="354" t="s">
        <v>910</v>
      </c>
      <c r="P43" s="2274"/>
      <c r="Q43" s="2274"/>
      <c r="R43" s="2255">
        <v>0.1</v>
      </c>
    </row>
    <row r="44" customHeight="1" spans="2:11">
      <c r="B44" s="2142" t="s">
        <v>911</v>
      </c>
      <c r="C44" s="2143"/>
      <c r="D44" s="2202">
        <v>1</v>
      </c>
      <c r="E44" s="2155">
        <f>VLOOKUP(E33,I41:K45,2,0)/VLOOKUP(D33,I41:K45,2,0)</f>
        <v>1</v>
      </c>
      <c r="F44" s="2173"/>
      <c r="G44" s="2173"/>
      <c r="I44" s="2002" t="s">
        <v>912</v>
      </c>
      <c r="J44" s="1990">
        <v>1.09</v>
      </c>
      <c r="K44" s="2272">
        <v>1</v>
      </c>
    </row>
    <row r="45" ht="14.25" customHeight="1" spans="2:11">
      <c r="B45" s="2142" t="s">
        <v>913</v>
      </c>
      <c r="C45" s="2143"/>
      <c r="D45" s="2155">
        <v>1</v>
      </c>
      <c r="E45" s="2155">
        <f>IF(OR(E34="",D34=""),"",INDEX(K50:P52,MATCH(VLOOKUP(E10,LED選型!B3:H67,7,FALSE),J50:J52,0),MATCH(IF(E34&gt;0.6,0.6,E34),K49:P49,1))/INDEX(K50:P52,MATCH(VLOOKUP(D10,LED選型!B3:H67,7,FALSE),J50:J52,0),MATCH(D34,K49:P49,1)))</f>
        <v>1</v>
      </c>
      <c r="F45" s="2173"/>
      <c r="G45" s="2173"/>
      <c r="I45" s="2275" t="s">
        <v>910</v>
      </c>
      <c r="J45" s="1990">
        <v>1.02</v>
      </c>
      <c r="K45" s="2272">
        <v>0.7</v>
      </c>
    </row>
    <row r="46" ht="14.25" customHeight="1" spans="2:7">
      <c r="B46" s="2142" t="s">
        <v>914</v>
      </c>
      <c r="C46" s="2198"/>
      <c r="D46" s="2155">
        <v>1</v>
      </c>
      <c r="E46" s="2155">
        <f>F35</f>
        <v>1</v>
      </c>
      <c r="F46" s="2204"/>
      <c r="G46" s="2205"/>
    </row>
    <row r="47" ht="18" customHeight="1" spans="2:7">
      <c r="B47" s="2203" t="s">
        <v>915</v>
      </c>
      <c r="C47" s="1823"/>
      <c r="D47" s="2155">
        <v>1</v>
      </c>
      <c r="E47" s="2155">
        <f>IF(OR(E39="",E40="",E42="",E43="",E44="",E45=""),"",E39*E42*E43*E44*E45*E46)</f>
        <v>0.608647444531513</v>
      </c>
      <c r="F47" s="2173"/>
      <c r="G47" s="2173"/>
    </row>
    <row r="48" customHeight="1" spans="2:20">
      <c r="B48" s="2203" t="s">
        <v>916</v>
      </c>
      <c r="C48" s="1823"/>
      <c r="D48" s="2157">
        <f>IF(D6="","",量產機種資料!X3)</f>
        <v>9963</v>
      </c>
      <c r="E48" s="2206">
        <f>IF(OR(E47="",E52=""),"",IF(D4="使用參考機種的模組亮度",E55/E9,IF(D4="使用參考機種的BLU亮度",D48*E47,"請選擇亮度推算方式")))</f>
        <v>6063.95448986747</v>
      </c>
      <c r="F48" s="2207" t="s">
        <v>917</v>
      </c>
      <c r="G48" s="2207"/>
      <c r="J48" s="2276" t="s">
        <v>918</v>
      </c>
      <c r="K48" s="354" t="s">
        <v>919</v>
      </c>
      <c r="L48" s="2277"/>
      <c r="M48" s="2277"/>
      <c r="N48" s="2277"/>
      <c r="O48" s="2277"/>
      <c r="P48" s="2274"/>
      <c r="S48" s="354" t="s">
        <v>920</v>
      </c>
      <c r="T48" s="2274"/>
    </row>
    <row r="49" customHeight="1" spans="2:22">
      <c r="B49" s="2203" t="s">
        <v>921</v>
      </c>
      <c r="C49" s="1823"/>
      <c r="D49" s="2157">
        <f>IF(D6="","",量產機種資料!AA3)</f>
        <v>0</v>
      </c>
      <c r="E49" s="2206">
        <f>IF(E41=1,"-",E48*E41)</f>
        <v>5760.75676537409</v>
      </c>
      <c r="F49" s="2208"/>
      <c r="G49" s="2208"/>
      <c r="J49" s="2278"/>
      <c r="K49" s="1990">
        <v>0.45</v>
      </c>
      <c r="L49" s="1990">
        <v>0.5</v>
      </c>
      <c r="M49" s="1990">
        <v>0.55</v>
      </c>
      <c r="N49" s="1990">
        <v>0.6</v>
      </c>
      <c r="O49" s="1990">
        <v>0.7</v>
      </c>
      <c r="P49" s="1990">
        <v>0.8</v>
      </c>
      <c r="S49" s="1990" t="s">
        <v>922</v>
      </c>
      <c r="T49" s="1990">
        <v>1</v>
      </c>
      <c r="V49" s="351" t="s">
        <v>923</v>
      </c>
    </row>
    <row r="50" customHeight="1" spans="2:22">
      <c r="B50" s="2203" t="s">
        <v>924</v>
      </c>
      <c r="C50" s="2148"/>
      <c r="D50" s="2209">
        <f>IF(D6="","",量產機種資料!Y3)</f>
        <v>0</v>
      </c>
      <c r="E50" s="2210"/>
      <c r="F50" s="2207"/>
      <c r="G50" s="2207"/>
      <c r="I50" s="2275" t="s">
        <v>925</v>
      </c>
      <c r="J50" s="2272">
        <v>0.6</v>
      </c>
      <c r="K50" s="1258">
        <v>0.94</v>
      </c>
      <c r="L50" s="2279">
        <v>0.96</v>
      </c>
      <c r="M50" s="2279">
        <v>0.98</v>
      </c>
      <c r="N50" s="2280">
        <v>1</v>
      </c>
      <c r="O50" s="2279">
        <v>1</v>
      </c>
      <c r="P50" s="2279">
        <v>1</v>
      </c>
      <c r="S50" s="1990" t="s">
        <v>926</v>
      </c>
      <c r="T50" s="1990">
        <v>0.98</v>
      </c>
      <c r="V50" s="351" t="s">
        <v>927</v>
      </c>
    </row>
    <row r="51" customHeight="1" spans="2:22">
      <c r="B51" s="2203" t="s">
        <v>928</v>
      </c>
      <c r="C51" s="2148"/>
      <c r="D51" s="2209">
        <f>IF(D6="","",量產機種資料!Z3)</f>
        <v>0</v>
      </c>
      <c r="E51" s="2210"/>
      <c r="F51" s="2207"/>
      <c r="G51" s="2207"/>
      <c r="I51" s="2275" t="s">
        <v>929</v>
      </c>
      <c r="J51" s="2272">
        <v>0.5</v>
      </c>
      <c r="K51" s="1258">
        <v>0.96</v>
      </c>
      <c r="L51" s="2279">
        <v>0.98</v>
      </c>
      <c r="M51" s="2279">
        <v>0.99</v>
      </c>
      <c r="N51" s="2280">
        <v>1</v>
      </c>
      <c r="O51" s="2279">
        <v>1</v>
      </c>
      <c r="P51" s="2279">
        <v>1</v>
      </c>
      <c r="S51" s="1990" t="s">
        <v>930</v>
      </c>
      <c r="T51" s="1990">
        <v>0.97</v>
      </c>
      <c r="V51" s="351" t="s">
        <v>931</v>
      </c>
    </row>
    <row r="52" customHeight="1" spans="2:16">
      <c r="B52" s="2142" t="s">
        <v>932</v>
      </c>
      <c r="C52" s="2198"/>
      <c r="D52" s="2155">
        <v>1</v>
      </c>
      <c r="E52" s="2155">
        <f>IF(OR(E7="",D9=""),"",E9/D9)</f>
        <v>1.24524141414141</v>
      </c>
      <c r="F52" s="2207"/>
      <c r="G52" s="2207"/>
      <c r="I52" s="2275" t="s">
        <v>933</v>
      </c>
      <c r="J52" s="2272">
        <v>0.4</v>
      </c>
      <c r="K52" s="2281">
        <v>1</v>
      </c>
      <c r="L52" s="2279">
        <v>1</v>
      </c>
      <c r="M52" s="2279">
        <v>1</v>
      </c>
      <c r="N52" s="2280">
        <v>1</v>
      </c>
      <c r="O52" s="2279">
        <v>1</v>
      </c>
      <c r="P52" s="2279">
        <v>1</v>
      </c>
    </row>
    <row r="53" customHeight="1" spans="2:22">
      <c r="B53" s="2211" t="s">
        <v>934</v>
      </c>
      <c r="C53" s="2212"/>
      <c r="D53" s="2155"/>
      <c r="E53" s="2213">
        <f>G27+G29+G31+G32+G34</f>
        <v>23</v>
      </c>
      <c r="F53" s="2207"/>
      <c r="G53" s="2207"/>
      <c r="I53" s="782" t="s">
        <v>935</v>
      </c>
      <c r="S53" s="63"/>
      <c r="T53" s="63"/>
      <c r="U53" s="63"/>
      <c r="V53" s="63"/>
    </row>
    <row r="54" customHeight="1" spans="2:22">
      <c r="B54" s="2142" t="s">
        <v>936</v>
      </c>
      <c r="C54" s="2143"/>
      <c r="D54" s="2155">
        <v>1</v>
      </c>
      <c r="E54" s="2155">
        <f>IF(OR(E39="",E40="",E42="",E43="",E44="",E45="",E52=""),"",E47*E52*E40)</f>
        <v>0.80001928257209</v>
      </c>
      <c r="F54" s="2207"/>
      <c r="G54" s="2207"/>
      <c r="I54" s="2282"/>
      <c r="J54" s="2283" t="s">
        <v>937</v>
      </c>
      <c r="K54" s="2283"/>
      <c r="L54" s="2284" t="s">
        <v>938</v>
      </c>
      <c r="M54" s="2283"/>
      <c r="N54" s="2283" t="s">
        <v>939</v>
      </c>
      <c r="O54" s="2285"/>
      <c r="S54" s="63"/>
      <c r="T54" s="63"/>
      <c r="U54" s="63"/>
      <c r="V54" s="63"/>
    </row>
    <row r="55" customHeight="1" spans="2:22">
      <c r="B55" s="2142" t="s">
        <v>940</v>
      </c>
      <c r="C55" s="2143"/>
      <c r="D55" s="2157">
        <f>IF(D6="","",量產機種資料!W3)</f>
        <v>0</v>
      </c>
      <c r="E55" s="2206">
        <f>IF(OR(E47="",E52=""),"",IF(D4="使用參考機種的模組亮度",D56*E54/E41,IF(D4="使用參考機種的BLU亮度",E48*E9,"請選擇亮度推算方式")))</f>
        <v>373.778819580461</v>
      </c>
      <c r="F55" s="2207" t="s">
        <v>917</v>
      </c>
      <c r="G55" s="2207"/>
      <c r="I55" s="2286" t="s">
        <v>941</v>
      </c>
      <c r="J55" s="2287">
        <v>0.1</v>
      </c>
      <c r="K55" s="2288">
        <f>K56*(1+J55)</f>
        <v>6574.73676184224</v>
      </c>
      <c r="L55" s="2289">
        <f>IF(M56=1,0,IF(M56=(1-R42),R42,R43))</f>
        <v>0.05</v>
      </c>
      <c r="M55" s="2290">
        <f>M56*(1+L55)</f>
        <v>0.9975</v>
      </c>
      <c r="N55" s="2291">
        <v>0.1</v>
      </c>
      <c r="O55" s="2292">
        <f>O56*(1+N55)</f>
        <v>0.067803395</v>
      </c>
      <c r="S55" s="63"/>
      <c r="T55" s="63"/>
      <c r="U55" s="63"/>
      <c r="V55" s="63"/>
    </row>
    <row r="56" customHeight="1" spans="2:22">
      <c r="B56" s="2142" t="s">
        <v>942</v>
      </c>
      <c r="C56" s="2143"/>
      <c r="D56" s="2157">
        <f>IF(D6="","",量產機種資料!AB3)</f>
        <v>0</v>
      </c>
      <c r="E56" s="2206">
        <f>IF(E41=1,"-",E55*E41)</f>
        <v>355.089878601438</v>
      </c>
      <c r="F56" s="2207"/>
      <c r="G56" s="2207"/>
      <c r="I56" s="2286" t="s">
        <v>943</v>
      </c>
      <c r="J56" s="2293">
        <v>0</v>
      </c>
      <c r="K56" s="2294">
        <f>K60/O56/M56</f>
        <v>5977.03341985659</v>
      </c>
      <c r="L56" s="2295">
        <v>0</v>
      </c>
      <c r="M56" s="2296">
        <f>E41</f>
        <v>0.95</v>
      </c>
      <c r="N56" s="2290">
        <v>0</v>
      </c>
      <c r="O56" s="2297">
        <f>E9</f>
        <v>0.06163945</v>
      </c>
      <c r="S56" s="63"/>
      <c r="T56" s="63"/>
      <c r="U56" s="63"/>
      <c r="V56" s="63"/>
    </row>
    <row r="57" customHeight="1" spans="2:27">
      <c r="B57" s="2142" t="s">
        <v>944</v>
      </c>
      <c r="C57" s="2143"/>
      <c r="D57" s="2214"/>
      <c r="E57" s="2174">
        <f>IF(OR(E55="",E55="請選擇亮度推算方式"),"",IF(E56="-",E55*(1-F57),E48*E41*E9*(1-F57)))</f>
        <v>344.437182243395</v>
      </c>
      <c r="F57" s="2215">
        <v>0.03</v>
      </c>
      <c r="G57" s="2216" t="s">
        <v>945</v>
      </c>
      <c r="I57" s="2298" t="s">
        <v>946</v>
      </c>
      <c r="J57" s="2289">
        <f>J55*-1</f>
        <v>-0.1</v>
      </c>
      <c r="K57" s="2299">
        <f>K56*(1+J57)</f>
        <v>5379.33007787093</v>
      </c>
      <c r="L57" s="2289">
        <f>IF(M56=1,0,IF(M56=(1-R42),-R42,-R43))</f>
        <v>-0.05</v>
      </c>
      <c r="M57" s="2300">
        <f>M56*(1+L57)</f>
        <v>0.9025</v>
      </c>
      <c r="N57" s="2301">
        <f>N55*-1</f>
        <v>-0.1</v>
      </c>
      <c r="O57" s="2302">
        <f>O56*(1+N57)</f>
        <v>0.055475505</v>
      </c>
      <c r="S57" s="63"/>
      <c r="T57" s="63"/>
      <c r="U57" s="63"/>
      <c r="V57" s="63"/>
      <c r="AA57">
        <f>IF(J33=4.2,'LED Driver 效率_duty_其他 (4206)'!F2,IF(J33=3.1,'LED Driver 效率_duty_其他 (3105)'!F2,'LED Driver 效率_duty_其他'!F2))</f>
        <v>0.8929</v>
      </c>
    </row>
    <row r="58" ht="15.6" spans="2:30">
      <c r="B58" s="1007" t="s">
        <v>947</v>
      </c>
      <c r="C58" s="1972"/>
      <c r="D58" s="1972"/>
      <c r="E58" s="2157">
        <f>Summary!C33</f>
        <v>300</v>
      </c>
      <c r="F58" s="2172"/>
      <c r="G58" s="2173"/>
      <c r="I58" s="2303"/>
      <c r="J58" s="2283" t="s">
        <v>948</v>
      </c>
      <c r="K58" s="2283"/>
      <c r="L58" s="2284" t="s">
        <v>949</v>
      </c>
      <c r="M58" s="2285"/>
      <c r="N58" s="2304"/>
      <c r="O58" s="2304"/>
      <c r="S58" s="63"/>
      <c r="T58" s="63"/>
      <c r="U58" s="63"/>
      <c r="V58" s="63"/>
      <c r="Z58" s="2329" t="s">
        <v>950</v>
      </c>
      <c r="AA58" s="2330"/>
      <c r="AB58" s="2331"/>
      <c r="AC58" s="2329" t="s">
        <v>951</v>
      </c>
      <c r="AD58" s="2330"/>
    </row>
    <row r="59" ht="15.6" spans="2:30">
      <c r="B59" s="1007" t="s">
        <v>952</v>
      </c>
      <c r="C59" s="1972"/>
      <c r="D59" s="1972"/>
      <c r="E59" s="2155" t="str">
        <f>IF(OR(E57="",E58="",E58=0),"",IF(E57&gt;E58,"OK",IF(E57&lt;E58,"Margin不足,請確認")))</f>
        <v>OK</v>
      </c>
      <c r="F59" s="2173"/>
      <c r="G59" s="2173"/>
      <c r="I59" s="2286" t="s">
        <v>941</v>
      </c>
      <c r="J59" s="2305">
        <f>SQRT(J55^2+L55^2+N55^2)</f>
        <v>0.15</v>
      </c>
      <c r="K59" s="2288">
        <f>K60*(1+J59)</f>
        <v>402.5</v>
      </c>
      <c r="L59" s="2306">
        <f>M59/M60-1</f>
        <v>0.166666666666667</v>
      </c>
      <c r="M59" s="2307">
        <v>1750</v>
      </c>
      <c r="N59" s="2304"/>
      <c r="O59" s="2304"/>
      <c r="S59" s="63"/>
      <c r="T59" s="63"/>
      <c r="U59" s="63"/>
      <c r="V59" s="63"/>
      <c r="Z59" s="2332" t="s">
        <v>953</v>
      </c>
      <c r="AA59" s="2333" t="s">
        <v>954</v>
      </c>
      <c r="AB59" s="2334"/>
      <c r="AC59" s="2332" t="s">
        <v>953</v>
      </c>
      <c r="AD59" s="2333" t="s">
        <v>954</v>
      </c>
    </row>
    <row r="60" ht="15.6" spans="9:30">
      <c r="I60" s="2286" t="s">
        <v>943</v>
      </c>
      <c r="J60" s="2293">
        <v>0</v>
      </c>
      <c r="K60" s="2288">
        <f>K61/(1+J61)</f>
        <v>350</v>
      </c>
      <c r="L60" s="2295" t="s">
        <v>7</v>
      </c>
      <c r="M60" s="2307">
        <v>1500</v>
      </c>
      <c r="N60" s="2304"/>
      <c r="O60" s="2304"/>
      <c r="P60" s="2304"/>
      <c r="Q60" s="2304"/>
      <c r="S60" s="63"/>
      <c r="T60" s="63"/>
      <c r="U60" s="63"/>
      <c r="V60" s="63"/>
      <c r="Z60" s="2332" t="s">
        <v>955</v>
      </c>
      <c r="AA60" s="2333" t="s">
        <v>956</v>
      </c>
      <c r="AB60" s="2334"/>
      <c r="AC60" s="2332" t="s">
        <v>955</v>
      </c>
      <c r="AD60" s="2333" t="s">
        <v>956</v>
      </c>
    </row>
    <row r="61" ht="15.15" spans="9:30">
      <c r="I61" s="2298" t="s">
        <v>946</v>
      </c>
      <c r="J61" s="2308">
        <f>-SQRT(J57^2+L57^2+N57^2)</f>
        <v>-0.15</v>
      </c>
      <c r="K61" s="2309">
        <f>350*0.85</f>
        <v>297.5</v>
      </c>
      <c r="L61" s="2310">
        <f>M61/M60-1</f>
        <v>-0.166666666666667</v>
      </c>
      <c r="M61" s="2311">
        <v>1250</v>
      </c>
      <c r="N61" s="2304"/>
      <c r="O61" s="2304"/>
      <c r="P61" s="2304"/>
      <c r="Q61" s="2304"/>
      <c r="S61" s="63"/>
      <c r="T61" s="63"/>
      <c r="U61" s="63"/>
      <c r="V61" s="63"/>
      <c r="W61" s="2327"/>
      <c r="X61" s="2327"/>
      <c r="Y61" s="2327"/>
      <c r="Z61" s="2335" t="s">
        <v>957</v>
      </c>
      <c r="AA61" s="2336" t="s">
        <v>958</v>
      </c>
      <c r="AB61" s="2337"/>
      <c r="AC61" s="2335" t="s">
        <v>957</v>
      </c>
      <c r="AD61" s="2336" t="s">
        <v>958</v>
      </c>
    </row>
    <row r="62" spans="9:30">
      <c r="I62" s="2303"/>
      <c r="J62" s="2283" t="s">
        <v>959</v>
      </c>
      <c r="K62" s="2285"/>
      <c r="L62" s="2304"/>
      <c r="M62" s="2304"/>
      <c r="N62" s="2304"/>
      <c r="O62" s="2304"/>
      <c r="P62" s="2304"/>
      <c r="Q62" s="2304"/>
      <c r="S62" s="63"/>
      <c r="T62" s="63"/>
      <c r="U62" s="63"/>
      <c r="V62" s="63"/>
      <c r="W62" s="2327"/>
      <c r="X62" s="2327"/>
      <c r="Y62" s="2327"/>
      <c r="Z62" s="2338">
        <v>0.65</v>
      </c>
      <c r="AA62" s="2336">
        <f>IF(J33=4.2,'LED Driver 效率_duty_其他 (4206)'!F2,IF(J33=3.1,'LED Driver 效率_duty_其他 (3105)'!F2,'LED Driver 效率_duty_其他'!F2))</f>
        <v>0.8929</v>
      </c>
      <c r="AB62" s="2337"/>
      <c r="AC62" s="2338">
        <v>0.65</v>
      </c>
      <c r="AD62" s="2336">
        <f>IF(J33=4.2,'LED Driver 效率_duty_其他 (4206)'!F6,IF(J33=3.1,'LED Driver 效率_duty_其他 (3105)'!F6,'LED Driver 效率_duty_其他'!F6))</f>
        <v>0.8867</v>
      </c>
    </row>
    <row r="63" ht="16.5" customHeight="1" spans="9:30">
      <c r="I63" s="2286" t="s">
        <v>941</v>
      </c>
      <c r="J63" s="2290">
        <f>SQRT(J59^2+L61^2)</f>
        <v>0.224227067451228</v>
      </c>
      <c r="K63" s="2312">
        <f>K64*(1+J63)</f>
        <v>0.285652982405287</v>
      </c>
      <c r="L63" s="2313"/>
      <c r="M63" s="2304"/>
      <c r="N63" s="2304"/>
      <c r="O63" s="2304"/>
      <c r="P63" s="2304"/>
      <c r="Q63" s="2304"/>
      <c r="S63" s="63"/>
      <c r="T63" s="63"/>
      <c r="U63" s="63"/>
      <c r="V63" s="63"/>
      <c r="W63" s="2327"/>
      <c r="X63" s="2327"/>
      <c r="Y63" s="2327"/>
      <c r="Z63" s="2338">
        <v>0.6</v>
      </c>
      <c r="AA63" s="2336">
        <f>IF(J33=4.2,'LED Driver 效率_duty_其他 (4206)'!I2,IF(J33=3.1,'LED Driver 效率_duty_其他 (3105)'!I2,'LED Driver 效率_duty_其他'!I2))</f>
        <v>0.8926</v>
      </c>
      <c r="AB63" s="2337"/>
      <c r="AC63" s="2338">
        <v>0.6</v>
      </c>
      <c r="AD63" s="2336">
        <f>IF(J33=4.2,'LED Driver 效率_duty_其他 (4206)'!I6,IF(J33=3.1,'LED Driver 效率_duty_其他 (3105)'!I6,'LED Driver 效率_duty_其他'!I6))</f>
        <v>0.8978</v>
      </c>
    </row>
    <row r="64" spans="9:30">
      <c r="I64" s="2286" t="s">
        <v>943</v>
      </c>
      <c r="J64" s="2314"/>
      <c r="K64" s="2315">
        <f>K60/M60</f>
        <v>0.233333333333333</v>
      </c>
      <c r="L64" s="2304"/>
      <c r="M64" s="2304"/>
      <c r="N64" s="2304"/>
      <c r="O64" s="2304"/>
      <c r="P64" s="2304"/>
      <c r="Q64" s="2304"/>
      <c r="S64" s="63"/>
      <c r="T64" s="63"/>
      <c r="U64" s="63"/>
      <c r="V64" s="63"/>
      <c r="W64" s="2327"/>
      <c r="X64" s="2327"/>
      <c r="Y64" s="2327"/>
      <c r="Z64" s="2338">
        <v>0.55</v>
      </c>
      <c r="AA64" s="2336">
        <f>IF(J33=4.2,'LED Driver 效率_duty_其他 (4206)'!L2,IF(J33=3.1,'LED Driver 效率_duty_其他 (3105)'!L2,'LED Driver 效率_duty_其他'!L2))</f>
        <v>0.8974</v>
      </c>
      <c r="AB64" s="2337"/>
      <c r="AC64" s="2338">
        <v>0.55</v>
      </c>
      <c r="AD64" s="2336">
        <f>IF(J33=4.2,'LED Driver 效率_duty_其他 (4206)'!L6,IF(J33=3.1,'LED Driver 效率_duty_其他 (3105)'!L6,'LED Driver 效率_duty_其他'!L6))</f>
        <v>0.8744</v>
      </c>
    </row>
    <row r="65" ht="17.25" customHeight="1" spans="9:30">
      <c r="I65" s="2298" t="s">
        <v>946</v>
      </c>
      <c r="J65" s="2300">
        <f>-SQRT(J61^2+L59^2)</f>
        <v>-0.224227067451229</v>
      </c>
      <c r="K65" s="2339">
        <f>K64*(1+J65)</f>
        <v>0.18101368426138</v>
      </c>
      <c r="L65" s="2304"/>
      <c r="M65" s="2304"/>
      <c r="N65" s="2304"/>
      <c r="O65" s="2304"/>
      <c r="P65" s="2304"/>
      <c r="Q65" s="2304"/>
      <c r="S65" s="63"/>
      <c r="T65" s="63"/>
      <c r="U65" s="63"/>
      <c r="V65" s="63"/>
      <c r="W65" s="2327"/>
      <c r="X65" s="2327"/>
      <c r="Y65" s="2327"/>
      <c r="Z65" s="2338">
        <v>0.5</v>
      </c>
      <c r="AA65" s="2414">
        <f>IF(J33=4.2,'LED Driver 效率_duty_其他 (4206)'!O2,IF(J33=3.1,'LED Driver 效率_duty_其他 (3105)'!O2,'LED Driver 效率_duty_其他'!O2))</f>
        <v>0.9016</v>
      </c>
      <c r="AB65" s="2415"/>
      <c r="AC65" s="2338">
        <v>0.5</v>
      </c>
      <c r="AD65" s="2414">
        <f>IF(J33=4.2,'LED Driver 效率_duty_其他 (4206)'!O6,IF(J33=3.1,'LED Driver 效率_duty_其他 (3105)'!O6,'LED Driver 效率_duty_其他'!O6))</f>
        <v>0.8667</v>
      </c>
    </row>
    <row r="66" spans="9:30">
      <c r="I66" s="1816"/>
      <c r="J66" s="1816"/>
      <c r="K66" s="1816"/>
      <c r="L66" s="1816"/>
      <c r="M66" s="1816"/>
      <c r="N66" s="2304"/>
      <c r="O66" s="2304"/>
      <c r="P66" s="2304"/>
      <c r="Q66" s="2304"/>
      <c r="S66" s="63"/>
      <c r="T66" s="63"/>
      <c r="U66" s="63"/>
      <c r="V66" s="63"/>
      <c r="W66" s="2327"/>
      <c r="X66" s="2327"/>
      <c r="Y66" s="2327"/>
      <c r="Z66" s="2338">
        <v>0.45</v>
      </c>
      <c r="AA66" s="2414">
        <f>IF(J33=4.2,'LED Driver 效率_duty_其他 (4206)'!R2,IF(J33=3.1,'LED Driver 效率_duty_其他 (3105)'!R2,'LED Driver 效率_duty_其他'!R2))</f>
        <v>0.9009</v>
      </c>
      <c r="AB66" s="2415"/>
      <c r="AC66" s="2338">
        <v>0.45</v>
      </c>
      <c r="AD66" s="2414">
        <f>IF(J33=4.2,'LED Driver 效率_duty_其他 (4206)'!R6,IF(J33=3.1,'LED Driver 效率_duty_其他 (3105)'!R6,'LED Driver 效率_duty_其他'!R6))</f>
        <v>0.8744</v>
      </c>
    </row>
    <row r="67" spans="9:30">
      <c r="I67" s="2340" t="s">
        <v>960</v>
      </c>
      <c r="J67" s="1816"/>
      <c r="K67" s="1816"/>
      <c r="L67" s="1816"/>
      <c r="M67" s="1816"/>
      <c r="N67" s="2304"/>
      <c r="O67" s="2304"/>
      <c r="P67" s="2304"/>
      <c r="Q67" s="2304"/>
      <c r="S67" s="63"/>
      <c r="T67" s="63"/>
      <c r="U67" s="63"/>
      <c r="V67" s="63"/>
      <c r="W67" s="2327"/>
      <c r="X67" s="2327"/>
      <c r="Y67" s="2327"/>
      <c r="Z67" s="2338">
        <v>0.4</v>
      </c>
      <c r="AA67" s="2414">
        <f>IF(J33=4.2,'LED Driver 效率_duty_其他 (4206)'!U2,IF(J33=3.1,'LED Driver 效率_duty_其他 (3105)'!U2,'LED Driver 效率_duty_其他'!U2))</f>
        <v>0.8901</v>
      </c>
      <c r="AB67" s="2415"/>
      <c r="AC67" s="2338">
        <v>0.4</v>
      </c>
      <c r="AD67" s="2414">
        <f>IF(J33=4.2,'LED Driver 效率_duty_其他 (4206)'!U6,IF(J33=3.1,'LED Driver 效率_duty_其他 (3105)'!U6,'LED Driver 效率_duty_其他'!U6))</f>
        <v>0.8736</v>
      </c>
    </row>
    <row r="68" ht="16.5" customHeight="1" spans="9:30">
      <c r="I68" s="2341" t="s">
        <v>961</v>
      </c>
      <c r="J68" s="2221" t="s">
        <v>962</v>
      </c>
      <c r="K68" s="2342">
        <f>K73/J73</f>
        <v>0.563237681647595</v>
      </c>
      <c r="L68" s="2342">
        <f>L73/J73</f>
        <v>0.422428261235696</v>
      </c>
      <c r="M68" s="2342">
        <f>M73/J73</f>
        <v>0.168971304494278</v>
      </c>
      <c r="N68" s="2304"/>
      <c r="O68" s="2304"/>
      <c r="P68" s="2304"/>
      <c r="Q68" s="2304"/>
      <c r="S68" s="63"/>
      <c r="T68" s="63"/>
      <c r="U68" s="63"/>
      <c r="V68" s="63"/>
      <c r="W68" s="2327"/>
      <c r="X68" s="2327"/>
      <c r="Y68" s="2327"/>
      <c r="Z68" s="2338">
        <v>0.35</v>
      </c>
      <c r="AA68" s="2414">
        <f>IF(J33=4.2,'LED Driver 效率_duty_其他 (4206)'!F4,IF(J33=3.1,'LED Driver 效率_duty_其他 (3105)'!F4,'LED Driver 效率_duty_其他'!F4))</f>
        <v>0.8777</v>
      </c>
      <c r="AB68" s="2415"/>
      <c r="AC68" s="2338">
        <v>0.35</v>
      </c>
      <c r="AD68" s="2414">
        <f>IF(J33=4.2,'LED Driver 效率_duty_其他 (4206)'!F8,IF(J33=3.1,'LED Driver 效率_duty_其他 (3105)'!F8,'LED Driver 效率_duty_其他'!F8))</f>
        <v>0.8801</v>
      </c>
    </row>
    <row r="69" ht="15.6" spans="9:30">
      <c r="I69" s="2341" t="s">
        <v>963</v>
      </c>
      <c r="J69" s="2343">
        <f>E21</f>
        <v>22</v>
      </c>
      <c r="K69" s="2344">
        <f>J69*K68</f>
        <v>12.3912289962471</v>
      </c>
      <c r="L69" s="2344">
        <f>J69*L68</f>
        <v>9.29342174718532</v>
      </c>
      <c r="M69" s="2344">
        <f>J69*M68</f>
        <v>3.71736869887413</v>
      </c>
      <c r="N69" s="2304"/>
      <c r="O69" s="2304"/>
      <c r="P69" s="2304"/>
      <c r="Q69" s="2304"/>
      <c r="V69" s="2327"/>
      <c r="W69" s="2327"/>
      <c r="X69" s="2327"/>
      <c r="Y69" s="2327"/>
      <c r="Z69" s="2338">
        <v>0.3</v>
      </c>
      <c r="AA69" s="2414">
        <f>IF(J33=4.2,'LED Driver 效率_duty_其他 (4206)'!I4,IF(J33=3.1,'LED Driver 效率_duty_其他 (3105)'!I4,'LED Driver 效率_duty_其他'!I4))</f>
        <v>0.8715</v>
      </c>
      <c r="AB69" s="2415"/>
      <c r="AC69" s="2338">
        <v>0.3</v>
      </c>
      <c r="AD69" s="2414">
        <f>IF(J33=4.2,'LED Driver 效率_duty_其他 (4206)'!I8,IF(J33=3.1,'LED Driver 效率_duty_其他 (3105)'!I8,'LED Driver 效率_duty_其他'!I8))</f>
        <v>0.8568</v>
      </c>
    </row>
    <row r="70" ht="27" customHeight="1" spans="9:30">
      <c r="I70" s="2341" t="s">
        <v>964</v>
      </c>
      <c r="J70" s="2343">
        <f>E22</f>
        <v>2.93</v>
      </c>
      <c r="K70" s="2344">
        <f>'LED-電流與最大電壓'!I2</f>
        <v>2.82</v>
      </c>
      <c r="L70" s="2344">
        <f>'LED-電流與最大電壓'!L2</f>
        <v>2.79</v>
      </c>
      <c r="M70" s="2344">
        <f>'LED-電流與最大電壓'!O2</f>
        <v>2.7</v>
      </c>
      <c r="N70" s="2304"/>
      <c r="O70" s="2304"/>
      <c r="P70" s="2304"/>
      <c r="Q70" s="2304"/>
      <c r="R70" s="2406" t="s">
        <v>965</v>
      </c>
      <c r="S70" s="2407" t="s">
        <v>966</v>
      </c>
      <c r="T70" s="2407" t="s">
        <v>967</v>
      </c>
      <c r="U70" s="2407" t="s">
        <v>968</v>
      </c>
      <c r="V70" s="2407" t="s">
        <v>969</v>
      </c>
      <c r="W70" s="2407" t="s">
        <v>970</v>
      </c>
      <c r="X70" s="2327"/>
      <c r="Y70" s="2327"/>
      <c r="Z70" s="2338">
        <v>0.25</v>
      </c>
      <c r="AA70" s="2414">
        <f>IF(J33=4.2,'LED Driver 效率_duty_其他 (4206)'!L4,IF(J33=3.1,'LED Driver 效率_duty_其他 (3105)'!L4,'LED Driver 效率_duty_其他'!L4))</f>
        <v>0.8718</v>
      </c>
      <c r="AB70" s="2415"/>
      <c r="AC70" s="2338">
        <v>0.25</v>
      </c>
      <c r="AD70" s="2414">
        <f>IF(J33=4.2,'LED Driver 效率_duty_其他 (4206)'!L8,IF(J33=3.1,'LED Driver 效率_duty_其他 (3105)'!L8,'LED Driver 效率_duty_其他'!L8))</f>
        <v>0.8292</v>
      </c>
    </row>
    <row r="71" ht="31.2" spans="9:30">
      <c r="I71" s="2345" t="s">
        <v>971</v>
      </c>
      <c r="J71" s="2346">
        <f>IF(E11="有(1个Driver IC)",F23,IF(E11="有(2个Driver IC)",F23,1))</f>
        <v>0.9167</v>
      </c>
      <c r="K71" s="2347">
        <f>IF(E11="有(1个Driver IC)",CHOOSE((K68&gt;Z62)+(K68&gt;Z63)+(K68&gt;Z64)+(K68&gt;Z65)+(K68&gt;Z66)+(K68&gt;Z67)+(K68&gt;Z68)+(K68&gt;Z69)+(K68&gt;Z70)+(K68&gt;Z71)+(K68&gt;Z72)+(K68&gt;Z73)+(K68&gt;Z74),AA74,AA73,AA72,AA71,AA70,AA69,AA68,AA67,AA66,AA65,AA64,AA63,AA62),IF(E11="有(2个Driver IC)",CHOOSE((K68&gt;Z62)+(K68&gt;Z63)+(K68&gt;Z64)+(K68&gt;Z65)+(K68&gt;Z66)+(K68&gt;Z67)+(K68&gt;Z68)+(K68&gt;Z69)+(K68&gt;Z70)+(K68&gt;Z71)+(K68&gt;Z72)+(K68&gt;Z73)+(K68&gt;Z74),AA74,AA73,AA72,AA71,AA70,AA69,AA68,AA67,AA66,AA65,AA64,AA63,AA62),1))</f>
        <v>0.8974</v>
      </c>
      <c r="L71" s="2347">
        <f>IF(E11="有(1个Driver IC)",CHOOSE((L68&gt;Z62)+(L68&gt;Z63)+(L68&gt;Z64)+(L68&gt;Z65)+(L68&gt;Z66)+(L68&gt;Z67)+(L68&gt;Z68)+(L68&gt;Z69)+(L68&gt;Z70)+(L68&gt;Z71)+(L68&gt;Z72)+(L68&gt;Z73)+(L68&gt;Z74),AA74,AA73,AA72,AA71,AA70,AA69,AA68,AA67,AA66,AA65,AA64,AA63,AA62),IF(E11="有(2个Driver IC)",CHOOSE((L68&gt;Z62)+(L68&gt;Z63)+(L68&gt;Z64)+(L68&gt;Z65)+(L68&gt;Z66)+(L68&gt;Z67)+(L68&gt;Z68)+(L68&gt;Z69)+(L68&gt;Z70)+(L68&gt;Z71)+(L68&gt;Z72)+(L68&gt;Z73)+(L68&gt;Z74),AA74,AA73,AA72,AA71,AA70,AA69,AA68,AA67,AA66,AA65,AA64,AA63,AA62),1))</f>
        <v>0.8901</v>
      </c>
      <c r="M71" s="2347">
        <f>IF(E11="有(1个Driver IC)",CHOOSE((M68&gt;Z62)+(M68&gt;Z63)+(M68&gt;Z64)+(M68&gt;Z65)+(M68&gt;Z66)+(M68&gt;Z67)+(M68&gt;Z68)+(M68&gt;Z69)+(M68&gt;Z70)+(M68&gt;Z71)+(M68&gt;Z72)+(M68&gt;Z73)+(M68&gt;Z74),AA74,AA73,AA72,AA71,AA70,AA69,AA68,AA67,AA66,AA65,AA64,AA63,AA62),IF(E11="有(2个Driver IC)",CHOOSE((M68&gt;Z62)+(M68&gt;Z63)+(M68&gt;Z64)+(M68&gt;Z65)+(M68&gt;Z66)+(M68&gt;Z67)+(M68&gt;Z68)+(M68&gt;Z69)+(M68&gt;Z70)+(M68&gt;Z71)+(M68&gt;Z72)+(M68&gt;Z73)+(M68&gt;Z74),AA74,AA73,AA72,AA71,AA70,AA69,AA68,AA67,AA66,AA65,AA64,AA63,AA62),1))</f>
        <v>0.8253</v>
      </c>
      <c r="N71" s="2304"/>
      <c r="O71" s="2304"/>
      <c r="P71" s="2304"/>
      <c r="Q71" s="2304"/>
      <c r="R71" s="705" t="s">
        <v>972</v>
      </c>
      <c r="S71" s="2408">
        <v>0.901667441860465</v>
      </c>
      <c r="T71" s="2409">
        <v>0.889783583333333</v>
      </c>
      <c r="U71" s="2408">
        <v>0.867222931034483</v>
      </c>
      <c r="V71" s="2409">
        <v>0.851569230769231</v>
      </c>
      <c r="W71" s="2408">
        <v>0.689162142857143</v>
      </c>
      <c r="X71" s="2327"/>
      <c r="Y71" s="2327"/>
      <c r="Z71" s="2338">
        <v>0.2</v>
      </c>
      <c r="AA71" s="2336">
        <f>IF(J33=4.2,'LED Driver 效率_duty_其他 (4206)'!O4,IF(J33=3.1,'LED Driver 效率_duty_其他 (3105)'!O4,'LED Driver 效率_duty_其他'!O4))</f>
        <v>0.8702</v>
      </c>
      <c r="AB71" s="2337"/>
      <c r="AC71" s="2338">
        <v>0.2</v>
      </c>
      <c r="AD71" s="2336">
        <f>IF(J33=4.2,'LED Driver 效率_duty_其他 (4206)'!O8,IF(J33=3.1,'LED Driver 效率_duty_其他 (3105)'!O8,'LED Driver 效率_duty_其他'!O8))</f>
        <v>0.7957</v>
      </c>
    </row>
    <row r="72" ht="31.2" spans="9:30">
      <c r="I72" s="2345" t="s">
        <v>973</v>
      </c>
      <c r="J72" s="2346">
        <f>IF(E11="有(2个Driver IC)",G23,0)</f>
        <v>0</v>
      </c>
      <c r="K72" s="2347">
        <f>IF(E11="有(2个Driver IC)",CHOOSE((K68&gt;Z62)+(K68&gt;Z63)+(K68&gt;Z64)+(K68&gt;Z65)+(K68&gt;Z66)+(K68&gt;Z67)+(K68&gt;Z68)+(K68&gt;Z69)+(K68&gt;Z70)+(K68&gt;Z71)+(K68&gt;Z72)+(K68&gt;Z73)+(K68&gt;Z74),AD74,AD73,AD72,AD71,AD70,AD69,AD68,AD67,AD66,AD65,AD64,AD63,AD62),0)</f>
        <v>0</v>
      </c>
      <c r="L72" s="2347">
        <f>IF(E11="有(2个Driver IC)",CHOOSE((L68&gt;Z62)+(L68&gt;Z63)+(L68&gt;Z64)+(L68&gt;Z65)+(L68&gt;Z66)+(L68&gt;Z67)+(L68&gt;Z68)+(L68&gt;Z69)+(L68&gt;Z70)+(L68&gt;Z71)+(L68&gt;Z72)+(L68&gt;Z73)+(L68&gt;Z74),AD74,AD73,AD72,AD71,AD70,AD69,AD68,AD67,AD66,AD65,AD64,AD63,AD62),0)</f>
        <v>0</v>
      </c>
      <c r="M72" s="2347">
        <f>IF(E11="有(2个Driver IC)",CHOOSE((M68&gt;Z62)+(M68&gt;Z63)+(M68&gt;Z64)+(M68&gt;Z65)+(M68&gt;Z66)+(M68&gt;Z67)+(M68&gt;Z68)+(M68&gt;Z69)+(M68&gt;Z70)+(M68&gt;Z71)+(M68&gt;Z72)+(M68&gt;Z73)+(M68&gt;Z74),AD74,AD73,AD72,AD71,AD70,AD69,AD68,AD67,AD66,AD65,AD64,AD63,AD62),0)</f>
        <v>0</v>
      </c>
      <c r="N72" s="2304"/>
      <c r="O72" s="2304"/>
      <c r="P72" s="2304"/>
      <c r="Q72" s="2304"/>
      <c r="R72" s="705" t="s">
        <v>974</v>
      </c>
      <c r="S72" s="2408">
        <v>0.895043735294118</v>
      </c>
      <c r="T72" s="2409">
        <v>0.887470833333333</v>
      </c>
      <c r="U72" s="2408">
        <v>0.875057413793103</v>
      </c>
      <c r="V72" s="2409">
        <v>0.863225</v>
      </c>
      <c r="W72" s="2408">
        <v>0.8076</v>
      </c>
      <c r="X72" s="2327"/>
      <c r="Y72" s="2327"/>
      <c r="Z72" s="2338">
        <v>0.15</v>
      </c>
      <c r="AA72" s="2336">
        <f>IF(J33=4.2,'LED Driver 效率_duty_其他 (4206)'!R4,IF(J33=3.1,'LED Driver 效率_duty_其他 (3105)'!R4,'LED Driver 效率_duty_其他'!R4))</f>
        <v>0.8253</v>
      </c>
      <c r="AB72" s="2337"/>
      <c r="AC72" s="2338">
        <v>0.15</v>
      </c>
      <c r="AD72" s="2336">
        <f>IF(J33=4.2,'LED Driver 效率_duty_其他 (4206)'!R8,IF(J33=3.1,'LED Driver 效率_duty_其他 (3105)'!R8,'LED Driver 效率_duty_其他'!R8))</f>
        <v>0.7671</v>
      </c>
    </row>
    <row r="73" ht="16.2" spans="9:30">
      <c r="I73" s="2341" t="s">
        <v>975</v>
      </c>
      <c r="J73" s="2348">
        <f>IF(E56="-",E55,E56)</f>
        <v>355.089878601438</v>
      </c>
      <c r="K73" s="2349">
        <v>200</v>
      </c>
      <c r="L73" s="2350">
        <v>150</v>
      </c>
      <c r="M73" s="2349">
        <v>60</v>
      </c>
      <c r="N73" s="2304"/>
      <c r="O73" s="2304"/>
      <c r="P73" s="2304"/>
      <c r="Q73" s="2304"/>
      <c r="R73" s="705" t="s">
        <v>976</v>
      </c>
      <c r="S73" s="2408">
        <v>0.890513684210526</v>
      </c>
      <c r="T73" s="2409">
        <v>0.875210655737705</v>
      </c>
      <c r="U73" s="2408">
        <v>0.866736818181818</v>
      </c>
      <c r="V73" s="2409">
        <v>0.831943636363636</v>
      </c>
      <c r="W73" s="2408">
        <v>0.72576</v>
      </c>
      <c r="X73" s="2327"/>
      <c r="Y73" s="2327"/>
      <c r="Z73" s="2338">
        <v>0.1</v>
      </c>
      <c r="AA73" s="2336">
        <f>IF(J33=4.2,'LED Driver 效率_duty_其他 (4206)'!U4,IF(J33=3.1,'LED Driver 效率_duty_其他 (3105)'!U4,'LED Driver 效率_duty_其他'!U4))</f>
        <v>0.774</v>
      </c>
      <c r="AB73" s="2337"/>
      <c r="AC73" s="2338">
        <v>0.1</v>
      </c>
      <c r="AD73" s="2336">
        <f>IF(J33=4.2,'LED Driver 效率_duty_其他 (4206)'!U8,IF(J33=3.1,'LED Driver 效率_duty_其他 (3105)'!U8,'LED Driver 效率_duty_其他'!U8))</f>
        <v>0.7509</v>
      </c>
    </row>
    <row r="74" ht="16.2" spans="9:30">
      <c r="I74" s="2341" t="s">
        <v>977</v>
      </c>
      <c r="J74" s="2351">
        <f>E23</f>
        <v>3.867459365114</v>
      </c>
      <c r="K74" s="2352">
        <f>IF(OR(E11="",E10=""),"",IF(E11="有(1个Driver IC)",E16*E18*K69*K70/K71/1000,IF(E11="有(2个Driver IC)",E16*E18*K69*K70/K71/1000+E17*E18*K69*K70/K72/1000,IF(E11="无(1个Driver IC)",E16*E18*K69*K70/1000,(E16+E17)*E18*K69*K70/1000))))</f>
        <v>2.14160866650092</v>
      </c>
      <c r="L74" s="2352">
        <f>IF(OR(E11="",E10=""),"",IF(E11="有(1个Driver IC)",E16*E18*L69*L70/L71/1000,IF(E11="有(2个Driver IC)",E16*E18*L69*L70/L71/1000+E17*E18*L69*L70/L72/1000,IF(E11="无(1个Driver IC)",E16*E18*L69*L70/1000,(E16+E17)*E18*L69*L70/1000))))</f>
        <v>1.60215208078372</v>
      </c>
      <c r="M74" s="2352">
        <f>IF(OR(E11="",E10=""),"",IF(E11="有(1个Driver IC)",E16*E18*M69*M70/M71/1000,IF(E11="有(2个Driver IC)",E16*E18*M69*M70/M71/1000+E17*E18*M69*M70/M72/1000,IF(E11="无(1个Driver IC)",E16*E18*M69*M70/1000,(E16+E17)*E18*M69*M70/1000))))</f>
        <v>0.668883135566228</v>
      </c>
      <c r="N74" s="2304"/>
      <c r="O74" s="2304"/>
      <c r="P74" s="2304"/>
      <c r="Q74" s="2304"/>
      <c r="R74" s="705" t="s">
        <v>978</v>
      </c>
      <c r="S74" s="2408">
        <v>0.889471973902593</v>
      </c>
      <c r="T74" s="2410">
        <v>0.857353011518157</v>
      </c>
      <c r="U74" s="2408">
        <v>0.847518376928236</v>
      </c>
      <c r="V74" s="2410">
        <v>0.793162281167109</v>
      </c>
      <c r="W74" s="2408">
        <v>0.633790808137769</v>
      </c>
      <c r="X74" s="2327"/>
      <c r="Y74" s="2327"/>
      <c r="Z74" s="2338">
        <v>0.05</v>
      </c>
      <c r="AA74" s="2336">
        <f>IF(J33=4.2,'LED Driver 效率_duty_其他 (4206)'!X4,IF(J33=3.1,'LED Driver 效率_duty_其他 (3105)'!X4,'LED Driver 效率_duty_其他'!X4))</f>
        <v>0.7338</v>
      </c>
      <c r="AB74" s="2337"/>
      <c r="AC74" s="2338">
        <v>0.05</v>
      </c>
      <c r="AD74" s="2336">
        <f>IF(J33=4.2,'LED Driver 效率_duty_其他 (4206)'!X8,IF(J33=3.1,'LED Driver 效率_duty_其他 (3105)'!X8,'LED Driver 效率_duty_其他'!X8))</f>
        <v>0.5911</v>
      </c>
    </row>
    <row r="75" spans="9:15">
      <c r="I75" s="1816"/>
      <c r="J75" s="1816"/>
      <c r="K75" s="1816"/>
      <c r="L75" s="1816"/>
      <c r="M75" s="1816"/>
      <c r="N75" s="1816"/>
      <c r="O75" s="1816"/>
    </row>
    <row r="76" ht="16.95" spans="9:15">
      <c r="I76" s="2353" t="s">
        <v>979</v>
      </c>
      <c r="J76" s="1816"/>
      <c r="K76" s="1816"/>
      <c r="L76" s="1816"/>
      <c r="M76" s="1816"/>
      <c r="N76" s="1816"/>
      <c r="O76" s="1816"/>
    </row>
    <row r="77" ht="28.8" spans="9:23">
      <c r="I77" s="2303"/>
      <c r="J77" s="2354" t="s">
        <v>980</v>
      </c>
      <c r="K77" s="2354"/>
      <c r="L77" s="2354" t="s">
        <v>981</v>
      </c>
      <c r="M77" s="2354"/>
      <c r="N77" s="2354" t="s">
        <v>982</v>
      </c>
      <c r="O77" s="2355"/>
      <c r="R77" s="2411" t="s">
        <v>983</v>
      </c>
      <c r="S77" s="152" t="s">
        <v>984</v>
      </c>
      <c r="T77" s="152" t="s">
        <v>985</v>
      </c>
      <c r="U77" s="152" t="s">
        <v>986</v>
      </c>
      <c r="V77" s="152" t="s">
        <v>987</v>
      </c>
      <c r="W77" s="152" t="s">
        <v>988</v>
      </c>
    </row>
    <row r="78" spans="9:23">
      <c r="I78" s="2286" t="s">
        <v>941</v>
      </c>
      <c r="J78" s="2356">
        <f>SQRT(J82^2+L82^2+N82^2)</f>
        <v>0.035</v>
      </c>
      <c r="K78" s="2357">
        <f>K79*(1+J78)</f>
        <v>4.00282044289299</v>
      </c>
      <c r="L78" s="2358">
        <v>0.1</v>
      </c>
      <c r="M78" s="2359">
        <f>M79*(1+L78)</f>
        <v>1.21</v>
      </c>
      <c r="N78" s="2360">
        <f>SQRT((K78-K79)^2+(M78-M79)^2)</f>
        <v>0.174420816927022</v>
      </c>
      <c r="O78" s="2361">
        <f>O79+N78</f>
        <v>5.14188018204102</v>
      </c>
      <c r="R78" s="2116" t="s">
        <v>989</v>
      </c>
      <c r="S78" s="2412">
        <v>0.0148809523809524</v>
      </c>
      <c r="T78" s="2412">
        <v>0.0154320987654321</v>
      </c>
      <c r="U78" s="2412">
        <v>0.0326086956521738</v>
      </c>
      <c r="V78" s="2412">
        <v>0.0563909774436091</v>
      </c>
      <c r="W78" s="2412">
        <v>0.208333333333333</v>
      </c>
    </row>
    <row r="79" ht="15.6" spans="9:26">
      <c r="I79" s="2286" t="s">
        <v>943</v>
      </c>
      <c r="J79" s="2293">
        <v>0</v>
      </c>
      <c r="K79" s="2362">
        <f>J74</f>
        <v>3.867459365114</v>
      </c>
      <c r="L79" s="2290">
        <v>0</v>
      </c>
      <c r="M79" s="2363">
        <v>1.1</v>
      </c>
      <c r="N79" s="2293">
        <v>0</v>
      </c>
      <c r="O79" s="2315">
        <f>M79+K79</f>
        <v>4.967459365114</v>
      </c>
      <c r="R79" s="2116" t="s">
        <v>990</v>
      </c>
      <c r="S79" s="2412">
        <v>0.00293772032902468</v>
      </c>
      <c r="T79" s="2412">
        <v>0.00917431192660551</v>
      </c>
      <c r="U79" s="2412">
        <v>0.0132978723404255</v>
      </c>
      <c r="V79" s="2412">
        <v>0.0232558139534884</v>
      </c>
      <c r="W79" s="2412">
        <v>0.141509433962264</v>
      </c>
      <c r="Z79" s="2416"/>
    </row>
    <row r="80" ht="15.6" spans="9:26">
      <c r="I80" s="2286" t="s">
        <v>946</v>
      </c>
      <c r="J80" s="2356">
        <f>-SQRT(J84^2+L84^2+N84^2)</f>
        <v>-0.035</v>
      </c>
      <c r="K80" s="2364">
        <f>K79*(1+J80)</f>
        <v>3.73209828733501</v>
      </c>
      <c r="L80" s="2358">
        <v>-0.1</v>
      </c>
      <c r="M80" s="2359">
        <f>M79*(1+L80)</f>
        <v>0.99</v>
      </c>
      <c r="N80" s="2365">
        <f>-SQRT((K80-K79)^2+(M80-M79)^2)</f>
        <v>-0.174420816927022</v>
      </c>
      <c r="O80" s="2366">
        <f>O79+N80</f>
        <v>4.79303854818697</v>
      </c>
      <c r="R80" s="2116" t="s">
        <v>991</v>
      </c>
      <c r="S80" s="2412">
        <v>0.00413564929693962</v>
      </c>
      <c r="T80" s="2412">
        <v>0.0064935064935065</v>
      </c>
      <c r="U80" s="2412">
        <v>0.00943396226415095</v>
      </c>
      <c r="V80" s="2412">
        <v>0.0170068027210885</v>
      </c>
      <c r="W80" s="2412">
        <v>0.110294117647059</v>
      </c>
      <c r="Z80" s="2416"/>
    </row>
    <row r="81" ht="15.6" spans="9:26">
      <c r="I81" s="2367"/>
      <c r="J81" s="2368" t="s">
        <v>992</v>
      </c>
      <c r="K81" s="2368"/>
      <c r="L81" s="2368" t="s">
        <v>993</v>
      </c>
      <c r="M81" s="2368"/>
      <c r="N81" s="2368" t="s">
        <v>994</v>
      </c>
      <c r="O81" s="2369"/>
      <c r="R81" s="2116" t="s">
        <v>995</v>
      </c>
      <c r="S81" s="2412">
        <v>0.00475888324873097</v>
      </c>
      <c r="T81" s="2412">
        <v>0.00748502994011977</v>
      </c>
      <c r="U81" s="2412">
        <v>0.00735294117647053</v>
      </c>
      <c r="V81" s="2412">
        <v>0.013262599469496</v>
      </c>
      <c r="W81" s="2412">
        <v>0.0602409638554217</v>
      </c>
      <c r="Z81" s="2416"/>
    </row>
    <row r="82" ht="16.5" customHeight="1" spans="9:26">
      <c r="I82" s="2286" t="s">
        <v>941</v>
      </c>
      <c r="J82" s="2370">
        <v>0.03</v>
      </c>
      <c r="K82" s="2371">
        <f>K83*(1+J82)</f>
        <v>22.66</v>
      </c>
      <c r="L82" s="2372">
        <v>0.01</v>
      </c>
      <c r="M82" s="2359">
        <f>M83*(1+L82)</f>
        <v>2.9593</v>
      </c>
      <c r="N82" s="2373">
        <v>0.015</v>
      </c>
      <c r="O82" s="2292">
        <f>O83*(1+N82)</f>
        <v>0.9304505</v>
      </c>
      <c r="R82" s="2116" t="s">
        <v>996</v>
      </c>
      <c r="S82" s="2412">
        <v>0.00384221311475405</v>
      </c>
      <c r="T82" s="2412">
        <v>0.00201938610662359</v>
      </c>
      <c r="U82" s="2412">
        <v>0.00592417061611375</v>
      </c>
      <c r="V82" s="2412">
        <v>0.0107758620689654</v>
      </c>
      <c r="W82" s="2412">
        <v>0.0510204081632653</v>
      </c>
      <c r="Z82" s="2416"/>
    </row>
    <row r="83" ht="15.6" spans="9:26">
      <c r="I83" s="2286" t="s">
        <v>943</v>
      </c>
      <c r="J83" s="2293">
        <v>0</v>
      </c>
      <c r="K83" s="2374">
        <f>E21</f>
        <v>22</v>
      </c>
      <c r="L83" s="2293">
        <v>0</v>
      </c>
      <c r="M83" s="2375">
        <f>E22</f>
        <v>2.93</v>
      </c>
      <c r="N83" s="2290">
        <v>0</v>
      </c>
      <c r="O83" s="2376">
        <f>J71</f>
        <v>0.9167</v>
      </c>
      <c r="R83" s="2116" t="s">
        <v>997</v>
      </c>
      <c r="S83" s="2412">
        <v>0.00333926981300085</v>
      </c>
      <c r="T83" s="2412">
        <v>0.00529287226534934</v>
      </c>
      <c r="U83" s="2412">
        <v>0.00518672199170125</v>
      </c>
      <c r="V83" s="2412">
        <v>0.00952380952380953</v>
      </c>
      <c r="W83" s="2412">
        <v>0.0454545454545455</v>
      </c>
      <c r="Z83" s="2417"/>
    </row>
    <row r="84" ht="16.35" spans="9:26">
      <c r="I84" s="2298" t="s">
        <v>946</v>
      </c>
      <c r="J84" s="2377">
        <f>J82*-1</f>
        <v>-0.03</v>
      </c>
      <c r="K84" s="2378">
        <f>K83*(1+J84)</f>
        <v>21.34</v>
      </c>
      <c r="L84" s="2377">
        <v>-0.01</v>
      </c>
      <c r="M84" s="2379">
        <f>M83*(1+L84)</f>
        <v>2.9007</v>
      </c>
      <c r="N84" s="2380">
        <v>-0.015</v>
      </c>
      <c r="O84" s="2302">
        <f>O83*(1+N84)</f>
        <v>0.9029495</v>
      </c>
      <c r="Z84" s="2417"/>
    </row>
    <row r="85" ht="17.25" customHeight="1" spans="9:26">
      <c r="I85" s="1816"/>
      <c r="J85" s="1816"/>
      <c r="K85" s="1816"/>
      <c r="L85" s="1816"/>
      <c r="M85" s="1816"/>
      <c r="N85" s="2304"/>
      <c r="O85" s="2304"/>
      <c r="Z85" s="2417"/>
    </row>
    <row r="86" ht="39.75" customHeight="1" spans="9:26">
      <c r="I86" s="2381" t="s">
        <v>998</v>
      </c>
      <c r="J86" s="1816"/>
      <c r="K86" s="1816"/>
      <c r="L86" s="1816"/>
      <c r="M86" s="1816"/>
      <c r="N86" s="2304"/>
      <c r="O86" s="2304"/>
      <c r="R86" s="2413" t="s">
        <v>999</v>
      </c>
      <c r="S86" s="152" t="s">
        <v>984</v>
      </c>
      <c r="T86" s="152" t="s">
        <v>985</v>
      </c>
      <c r="U86" s="152" t="s">
        <v>986</v>
      </c>
      <c r="V86" s="152" t="s">
        <v>987</v>
      </c>
      <c r="W86" s="152" t="s">
        <v>988</v>
      </c>
      <c r="Z86" s="2416"/>
    </row>
    <row r="87" ht="16.35" spans="9:26">
      <c r="I87" s="2382" t="s">
        <v>1000</v>
      </c>
      <c r="J87" s="2383">
        <v>150</v>
      </c>
      <c r="K87" s="1816"/>
      <c r="L87" s="1816"/>
      <c r="M87" s="1816"/>
      <c r="N87" s="1816"/>
      <c r="O87" s="1816"/>
      <c r="R87" s="2116" t="s">
        <v>989</v>
      </c>
      <c r="S87" s="2412">
        <v>0.00363756613756627</v>
      </c>
      <c r="T87" s="2412">
        <v>0.0146604938271606</v>
      </c>
      <c r="U87" s="2412">
        <v>0.0570021946734682</v>
      </c>
      <c r="V87" s="2412">
        <v>0.0607815848167652</v>
      </c>
      <c r="W87" s="2412">
        <v>0.099537037037037</v>
      </c>
      <c r="Z87" s="2417"/>
    </row>
    <row r="88" ht="15.6" spans="9:26">
      <c r="I88" s="2303"/>
      <c r="J88" s="2384" t="s">
        <v>980</v>
      </c>
      <c r="K88" s="2384"/>
      <c r="L88" s="2384" t="s">
        <v>981</v>
      </c>
      <c r="M88" s="2384"/>
      <c r="N88" s="2384" t="s">
        <v>982</v>
      </c>
      <c r="O88" s="2385"/>
      <c r="R88" s="2116" t="s">
        <v>990</v>
      </c>
      <c r="S88" s="2412">
        <v>-0.0129259694477084</v>
      </c>
      <c r="T88" s="2412">
        <v>0.0175840978593271</v>
      </c>
      <c r="U88" s="2412">
        <v>0.00201972821334873</v>
      </c>
      <c r="V88" s="2412">
        <v>0.0800742662635976</v>
      </c>
      <c r="W88" s="2412">
        <v>0.140271929542605</v>
      </c>
      <c r="Z88" s="2417"/>
    </row>
    <row r="89" ht="15.6" spans="9:26">
      <c r="I89" s="2386" t="s">
        <v>941</v>
      </c>
      <c r="J89" s="2356">
        <f>SQRT(J93^2+L93^2+N93^2)</f>
        <v>0.158429795177549</v>
      </c>
      <c r="K89" s="2357">
        <f>K90*(1+J89)</f>
        <v>1.85598070678557</v>
      </c>
      <c r="L89" s="2358">
        <v>0.1</v>
      </c>
      <c r="M89" s="2359">
        <f>M90*(1+L89)</f>
        <v>1.21</v>
      </c>
      <c r="N89" s="2365">
        <f>SQRT((K89-K90)^2+(M89-M90)^2)</f>
        <v>0.276638701880243</v>
      </c>
      <c r="O89" s="2361">
        <f>O90+N89</f>
        <v>2.97879078266396</v>
      </c>
      <c r="R89" s="2116" t="s">
        <v>991</v>
      </c>
      <c r="S89" s="2412">
        <v>-0.012269092914254</v>
      </c>
      <c r="T89" s="2412">
        <v>-0.0113384955752213</v>
      </c>
      <c r="U89" s="2412">
        <v>0.0169142738063195</v>
      </c>
      <c r="V89" s="2412">
        <v>0.052183113959525</v>
      </c>
      <c r="W89" s="2412">
        <v>0.0966481187069421</v>
      </c>
      <c r="Z89" s="2417"/>
    </row>
    <row r="90" ht="16.5" customHeight="1" spans="9:26">
      <c r="I90" s="2386" t="s">
        <v>943</v>
      </c>
      <c r="J90" s="2293">
        <v>0</v>
      </c>
      <c r="K90" s="2362">
        <f>IF(J87=K73,K74,IF(J87=L73,L74,IF(J87=M73,M74)))</f>
        <v>1.60215208078372</v>
      </c>
      <c r="L90" s="2290">
        <v>0</v>
      </c>
      <c r="M90" s="2363">
        <v>1.1</v>
      </c>
      <c r="N90" s="2293">
        <v>0</v>
      </c>
      <c r="O90" s="2315">
        <f>M90+K90</f>
        <v>2.70215208078372</v>
      </c>
      <c r="R90" s="2116" t="s">
        <v>995</v>
      </c>
      <c r="S90" s="2412">
        <v>-0.00856598984771573</v>
      </c>
      <c r="T90" s="2412">
        <v>0.00143554040673433</v>
      </c>
      <c r="U90" s="2412">
        <v>0.00922473451855388</v>
      </c>
      <c r="V90" s="2412">
        <v>0.0103185013645246</v>
      </c>
      <c r="W90" s="2412">
        <v>0.0673019948647049</v>
      </c>
      <c r="Z90" s="2416"/>
    </row>
    <row r="91" ht="15.6" spans="9:26">
      <c r="I91" s="2386" t="s">
        <v>946</v>
      </c>
      <c r="J91" s="2356">
        <f>-SQRT(J95^2+L95^2+N95^2)</f>
        <v>-0.158429795177549</v>
      </c>
      <c r="K91" s="2364">
        <f>K90*(1+J91)</f>
        <v>1.34832345478187</v>
      </c>
      <c r="L91" s="2358">
        <v>-0.1</v>
      </c>
      <c r="M91" s="2359">
        <f>M90*(1+L91)</f>
        <v>0.99</v>
      </c>
      <c r="N91" s="2365">
        <f>-SQRT((K91-K90)^2+(M91-M90)^2)</f>
        <v>-0.276638701880243</v>
      </c>
      <c r="O91" s="2366">
        <f>O90+N91</f>
        <v>2.42551337890347</v>
      </c>
      <c r="R91" s="2116" t="s">
        <v>996</v>
      </c>
      <c r="S91" s="2412">
        <v>-0.00849556010928976</v>
      </c>
      <c r="T91" s="2412">
        <v>-0.00452447402703648</v>
      </c>
      <c r="U91" s="2412">
        <v>-0.0166605724084561</v>
      </c>
      <c r="V91" s="2412">
        <v>0.00335777492716427</v>
      </c>
      <c r="W91" s="2412">
        <v>0.0841836734693877</v>
      </c>
      <c r="Z91" s="2417"/>
    </row>
    <row r="92" spans="9:26">
      <c r="I92" s="2367"/>
      <c r="J92" s="2387" t="s">
        <v>1001</v>
      </c>
      <c r="K92" s="2387"/>
      <c r="L92" s="2387" t="s">
        <v>1002</v>
      </c>
      <c r="M92" s="2387"/>
      <c r="N92" s="2387" t="s">
        <v>1003</v>
      </c>
      <c r="O92" s="2388"/>
      <c r="R92" s="2116" t="s">
        <v>997</v>
      </c>
      <c r="S92" s="2412">
        <v>-0.0047120807361235</v>
      </c>
      <c r="T92" s="2412">
        <v>-0.00740378624005134</v>
      </c>
      <c r="U92" s="2412">
        <v>0.000315076351059762</v>
      </c>
      <c r="V92" s="2412">
        <v>0.021978867741971</v>
      </c>
      <c r="W92" s="2412">
        <v>0.0946969696969695</v>
      </c>
      <c r="Z92" s="733"/>
    </row>
    <row r="93" ht="15.6" spans="9:26">
      <c r="I93" s="2386" t="s">
        <v>941</v>
      </c>
      <c r="J93" s="2389">
        <f>SQRT(J55^2+N55^2+L55^2)</f>
        <v>0.15</v>
      </c>
      <c r="K93" s="2371">
        <f>K94*(1+J93)</f>
        <v>10.6874350092631</v>
      </c>
      <c r="L93" s="2372">
        <v>0.01</v>
      </c>
      <c r="M93" s="2359">
        <f>M94*(1+L93)</f>
        <v>2.8179</v>
      </c>
      <c r="N93" s="2390">
        <v>0.05</v>
      </c>
      <c r="O93" s="2292">
        <f>O94*(1+N93)</f>
        <v>0.934605</v>
      </c>
      <c r="Z93" s="2417"/>
    </row>
    <row r="94" ht="16.5" customHeight="1" spans="9:26">
      <c r="I94" s="2386" t="s">
        <v>943</v>
      </c>
      <c r="J94" s="2391">
        <v>0</v>
      </c>
      <c r="K94" s="2375">
        <f>IF(J87=K73,K69,IF(J87=L73,L69,IF(J87=M73,M69)))</f>
        <v>9.29342174718532</v>
      </c>
      <c r="L94" s="2293">
        <v>0</v>
      </c>
      <c r="M94" s="2375">
        <f>IF(J87=K73,K70,IF(J87=L73,L70,IF(J87=M73,M70)))</f>
        <v>2.79</v>
      </c>
      <c r="N94" s="2290">
        <v>0</v>
      </c>
      <c r="O94" s="2376">
        <f>IF(J87=K73,K71,IF(J87=L73,L71,IF(J87=M73,M71)))</f>
        <v>0.8901</v>
      </c>
      <c r="Z94" s="2416"/>
    </row>
    <row r="95" ht="15.15" spans="9:15">
      <c r="I95" s="2392" t="s">
        <v>946</v>
      </c>
      <c r="J95" s="2393">
        <f>-SQRT(J55^2+N55^2+L55^2)</f>
        <v>-0.15</v>
      </c>
      <c r="K95" s="2378">
        <f>K94*(1+J95)</f>
        <v>7.89940848510752</v>
      </c>
      <c r="L95" s="2377">
        <v>-0.01</v>
      </c>
      <c r="M95" s="2379">
        <f>M94*(1+L95)</f>
        <v>2.7621</v>
      </c>
      <c r="N95" s="2394">
        <f>N93*-1</f>
        <v>-0.05</v>
      </c>
      <c r="O95" s="2302">
        <f>O94*(1+N95)</f>
        <v>0.845595</v>
      </c>
    </row>
    <row r="97" spans="9:9">
      <c r="I97" s="2340" t="s">
        <v>1004</v>
      </c>
    </row>
    <row r="98" ht="15.6" spans="9:10">
      <c r="I98" s="2395" t="s">
        <v>1005</v>
      </c>
      <c r="J98" s="2395"/>
    </row>
    <row r="99" spans="9:10">
      <c r="I99" s="2396" t="s">
        <v>1006</v>
      </c>
      <c r="J99" s="2396" t="s">
        <v>1007</v>
      </c>
    </row>
    <row r="100" spans="9:10">
      <c r="I100" s="1818">
        <v>2.2</v>
      </c>
      <c r="J100" s="1818">
        <v>2.4</v>
      </c>
    </row>
    <row r="101" ht="15.6" spans="11:12">
      <c r="K101" s="2395" t="s">
        <v>1008</v>
      </c>
      <c r="L101" s="2395"/>
    </row>
    <row r="102" ht="15.6" spans="9:12">
      <c r="I102" s="2397" t="s">
        <v>1009</v>
      </c>
      <c r="J102" s="2395" t="s">
        <v>1010</v>
      </c>
      <c r="K102" s="2396" t="s">
        <v>1006</v>
      </c>
      <c r="L102" s="2396" t="s">
        <v>1007</v>
      </c>
    </row>
    <row r="103" ht="15.6" spans="9:13">
      <c r="I103" s="2397">
        <v>60</v>
      </c>
      <c r="J103" s="2398">
        <f>ROUND(I103/I105*J105,2)</f>
        <v>0.74</v>
      </c>
      <c r="K103" s="2399">
        <f>$I$100+J103</f>
        <v>2.94</v>
      </c>
      <c r="L103" s="2399">
        <f>$J$100+J103</f>
        <v>3.14</v>
      </c>
      <c r="M103" s="2400" t="s">
        <v>1011</v>
      </c>
    </row>
    <row r="104" ht="15.6" spans="9:13">
      <c r="I104" s="2397">
        <v>80</v>
      </c>
      <c r="J104" s="2398">
        <f>ROUND(I104/I105*J105,2)</f>
        <v>0.99</v>
      </c>
      <c r="K104" s="2399">
        <f>I100+J104</f>
        <v>3.19</v>
      </c>
      <c r="L104" s="2399">
        <f>J100+J104</f>
        <v>3.39</v>
      </c>
      <c r="M104" s="2401"/>
    </row>
    <row r="105" ht="15.6" spans="9:13">
      <c r="I105" s="2397">
        <v>150</v>
      </c>
      <c r="J105" s="2402">
        <f>ROUND(L74*(1+SQRT((SQRT(J55^2+N55^2+L55^2))^2+L93^2+N93^2)),2)</f>
        <v>1.86</v>
      </c>
      <c r="K105" s="2399">
        <f>$I$100+J105</f>
        <v>4.06</v>
      </c>
      <c r="L105" s="2399">
        <f>$J$100+J105</f>
        <v>4.26</v>
      </c>
      <c r="M105" s="2401"/>
    </row>
    <row r="106" ht="15.6" spans="9:13">
      <c r="I106" s="2397">
        <v>200</v>
      </c>
      <c r="J106" s="2403">
        <f>ROUND(I106/I105*J105,2)</f>
        <v>2.48</v>
      </c>
      <c r="K106" s="2399">
        <f>$I$100+J106</f>
        <v>4.68</v>
      </c>
      <c r="L106" s="2399">
        <f>$J$100+J106</f>
        <v>4.88</v>
      </c>
      <c r="M106" s="2401"/>
    </row>
    <row r="107" ht="15.6" spans="9:13">
      <c r="I107" s="2397">
        <v>250</v>
      </c>
      <c r="J107" s="2403">
        <f>ROUND(I107/I105*J105,2)</f>
        <v>3.1</v>
      </c>
      <c r="K107" s="2399">
        <f>J107+I100</f>
        <v>5.3</v>
      </c>
      <c r="L107" s="2399">
        <f>J107+J100</f>
        <v>5.5</v>
      </c>
      <c r="M107" s="2401"/>
    </row>
    <row r="108" ht="15.6" spans="9:13">
      <c r="I108" s="2404">
        <f>E58</f>
        <v>300</v>
      </c>
      <c r="J108" s="2403">
        <f>ROUND((I108/I105)*J105,2)</f>
        <v>3.72</v>
      </c>
      <c r="K108" s="2399">
        <f>$I$100+J108</f>
        <v>5.92</v>
      </c>
      <c r="L108" s="2399">
        <f>$J$100+J108</f>
        <v>6.12</v>
      </c>
      <c r="M108" s="2405"/>
    </row>
  </sheetData>
  <sheetProtection sheet="1" objects="1" scenarios="1"/>
  <protectedRanges>
    <protectedRange sqref="K14:L15 K11:L11 K2:L7" name="区域4"/>
    <protectedRange sqref="J41:K45" name="区域2"/>
    <protectedRange sqref="D4:E4 D6:G6 E7:G8 E10:G11 F12:G13 E16:E18 E20:E21 E27:E36 F34 J29:J31 J35 J55 N55 M59:M61 K61 K73 M73 L78 M79 L80 J82 J87 L89 M90 L91 N93 I100:J100 F36:G59 F15:G26" name="区域1"/>
    <protectedRange sqref="E37:E38" name="区域3"/>
  </protectedRanges>
  <mergeCells count="149">
    <mergeCell ref="B2:C2"/>
    <mergeCell ref="I2:J2"/>
    <mergeCell ref="B3:C3"/>
    <mergeCell ref="F3:G3"/>
    <mergeCell ref="B4:C4"/>
    <mergeCell ref="F4:G4"/>
    <mergeCell ref="K4:L4"/>
    <mergeCell ref="F5:G5"/>
    <mergeCell ref="K5:L5"/>
    <mergeCell ref="F6:G6"/>
    <mergeCell ref="K6:L6"/>
    <mergeCell ref="B7:C7"/>
    <mergeCell ref="F7:G7"/>
    <mergeCell ref="B8:C8"/>
    <mergeCell ref="F8:G8"/>
    <mergeCell ref="K8:L8"/>
    <mergeCell ref="B9:C9"/>
    <mergeCell ref="F9:G9"/>
    <mergeCell ref="K9:L9"/>
    <mergeCell ref="B10:C10"/>
    <mergeCell ref="F10:G10"/>
    <mergeCell ref="B11:C11"/>
    <mergeCell ref="F11:G11"/>
    <mergeCell ref="B12:C12"/>
    <mergeCell ref="F12:G12"/>
    <mergeCell ref="B13:C13"/>
    <mergeCell ref="F13:G13"/>
    <mergeCell ref="B14:C14"/>
    <mergeCell ref="K14:L14"/>
    <mergeCell ref="B15:C15"/>
    <mergeCell ref="F15:G15"/>
    <mergeCell ref="K15:L15"/>
    <mergeCell ref="B16:C16"/>
    <mergeCell ref="I16:U16"/>
    <mergeCell ref="B17:C17"/>
    <mergeCell ref="B18:C18"/>
    <mergeCell ref="F18:G18"/>
    <mergeCell ref="B19:C19"/>
    <mergeCell ref="F19:G19"/>
    <mergeCell ref="B20:C20"/>
    <mergeCell ref="F20:G20"/>
    <mergeCell ref="B22:C22"/>
    <mergeCell ref="B23:C23"/>
    <mergeCell ref="B24:C24"/>
    <mergeCell ref="B25:D25"/>
    <mergeCell ref="F25:G25"/>
    <mergeCell ref="B26:D26"/>
    <mergeCell ref="I27:J27"/>
    <mergeCell ref="L29:P29"/>
    <mergeCell ref="R29:U29"/>
    <mergeCell ref="L30:M30"/>
    <mergeCell ref="L31:N31"/>
    <mergeCell ref="L32:N32"/>
    <mergeCell ref="B33:C33"/>
    <mergeCell ref="L33:N33"/>
    <mergeCell ref="B34:C34"/>
    <mergeCell ref="L34:N34"/>
    <mergeCell ref="B35:C35"/>
    <mergeCell ref="L35:N35"/>
    <mergeCell ref="B36:C36"/>
    <mergeCell ref="F36:G36"/>
    <mergeCell ref="L36:N36"/>
    <mergeCell ref="B37:C37"/>
    <mergeCell ref="L37:N37"/>
    <mergeCell ref="B38:C38"/>
    <mergeCell ref="L38:N38"/>
    <mergeCell ref="B39:C39"/>
    <mergeCell ref="F39:G39"/>
    <mergeCell ref="B40:C40"/>
    <mergeCell ref="F40:G40"/>
    <mergeCell ref="B41:C41"/>
    <mergeCell ref="F41:G41"/>
    <mergeCell ref="O41:R41"/>
    <mergeCell ref="B42:C42"/>
    <mergeCell ref="F42:G42"/>
    <mergeCell ref="O42:P42"/>
    <mergeCell ref="B43:C43"/>
    <mergeCell ref="F43:G43"/>
    <mergeCell ref="O43:P43"/>
    <mergeCell ref="B44:C44"/>
    <mergeCell ref="F44:G44"/>
    <mergeCell ref="B45:C45"/>
    <mergeCell ref="F45:G45"/>
    <mergeCell ref="B46:C46"/>
    <mergeCell ref="F46:G46"/>
    <mergeCell ref="B47:C47"/>
    <mergeCell ref="F47:G47"/>
    <mergeCell ref="B48:C48"/>
    <mergeCell ref="F48:G48"/>
    <mergeCell ref="K48:P48"/>
    <mergeCell ref="S48:T48"/>
    <mergeCell ref="B49:C49"/>
    <mergeCell ref="F49:G49"/>
    <mergeCell ref="B50:C50"/>
    <mergeCell ref="F50:G50"/>
    <mergeCell ref="B51:C51"/>
    <mergeCell ref="F51:G51"/>
    <mergeCell ref="B52:C52"/>
    <mergeCell ref="F52:G52"/>
    <mergeCell ref="B53:C53"/>
    <mergeCell ref="F53:G53"/>
    <mergeCell ref="B54:C54"/>
    <mergeCell ref="F54:G54"/>
    <mergeCell ref="J54:K54"/>
    <mergeCell ref="L54:M54"/>
    <mergeCell ref="N54:O54"/>
    <mergeCell ref="B55:C55"/>
    <mergeCell ref="F55:G55"/>
    <mergeCell ref="B56:C56"/>
    <mergeCell ref="F56:G56"/>
    <mergeCell ref="B57:C57"/>
    <mergeCell ref="B58:D58"/>
    <mergeCell ref="F58:G58"/>
    <mergeCell ref="J58:K58"/>
    <mergeCell ref="L58:M58"/>
    <mergeCell ref="Z58:AA58"/>
    <mergeCell ref="AC58:AD58"/>
    <mergeCell ref="B59:D59"/>
    <mergeCell ref="F59:G59"/>
    <mergeCell ref="J62:K62"/>
    <mergeCell ref="J77:K77"/>
    <mergeCell ref="L77:M77"/>
    <mergeCell ref="N77:O77"/>
    <mergeCell ref="J81:K81"/>
    <mergeCell ref="L81:M81"/>
    <mergeCell ref="N81:O81"/>
    <mergeCell ref="J88:K88"/>
    <mergeCell ref="L88:M88"/>
    <mergeCell ref="N88:O88"/>
    <mergeCell ref="J92:K92"/>
    <mergeCell ref="L92:M92"/>
    <mergeCell ref="N92:O92"/>
    <mergeCell ref="I98:J98"/>
    <mergeCell ref="K101:L101"/>
    <mergeCell ref="B27:B32"/>
    <mergeCell ref="D29:D30"/>
    <mergeCell ref="E29:E30"/>
    <mergeCell ref="F29:F30"/>
    <mergeCell ref="G29:G30"/>
    <mergeCell ref="I3:I7"/>
    <mergeCell ref="I8:I9"/>
    <mergeCell ref="I10:I12"/>
    <mergeCell ref="I13:I15"/>
    <mergeCell ref="J48:J49"/>
    <mergeCell ref="K35:K38"/>
    <mergeCell ref="M103:M108"/>
    <mergeCell ref="F16:G17"/>
    <mergeCell ref="F37:G38"/>
    <mergeCell ref="B5:C6"/>
  </mergeCells>
  <conditionalFormatting sqref="E14">
    <cfRule type="expression" dxfId="1" priority="1">
      <formula>$E$14&lt;$E$13</formula>
    </cfRule>
    <cfRule type="expression" dxfId="2" priority="20">
      <formula>$E$14&gt;$E$12</formula>
    </cfRule>
  </conditionalFormatting>
  <conditionalFormatting sqref="E16">
    <cfRule type="cellIs" dxfId="3" priority="10" operator="lessThan">
      <formula>3</formula>
    </cfRule>
    <cfRule type="cellIs" dxfId="3" priority="11" operator="greaterThan">
      <formula>6</formula>
    </cfRule>
  </conditionalFormatting>
  <conditionalFormatting sqref="E17">
    <cfRule type="expression" dxfId="4" priority="38">
      <formula>OR($E$11="有(1个Driver IC)",$E$11="无(1个Driver IC)")</formula>
    </cfRule>
  </conditionalFormatting>
  <conditionalFormatting sqref="E18">
    <cfRule type="expression" dxfId="1" priority="61">
      <formula>OR($E$22*$E$18&lt;22,$E$22*$E$18&gt;=37)</formula>
    </cfRule>
  </conditionalFormatting>
  <conditionalFormatting sqref="E26">
    <cfRule type="expression" dxfId="5" priority="29">
      <formula>$E$26="不滿足客戶規格"</formula>
    </cfRule>
  </conditionalFormatting>
  <conditionalFormatting sqref="E27">
    <cfRule type="expression" dxfId="4" priority="4">
      <formula>$E$27=""</formula>
    </cfRule>
  </conditionalFormatting>
  <conditionalFormatting sqref="J29">
    <cfRule type="expression" dxfId="6" priority="3">
      <formula>$E$4="Bent胶框不外凸"</formula>
    </cfRule>
    <cfRule type="expression" dxfId="7" priority="5">
      <formula>AND($E$4="Bent胶框外凸",$J$29=0)</formula>
    </cfRule>
  </conditionalFormatting>
  <conditionalFormatting sqref="J30">
    <cfRule type="expression" dxfId="1" priority="19">
      <formula>$K$30&gt;$J$30</formula>
    </cfRule>
  </conditionalFormatting>
  <conditionalFormatting sqref="K35">
    <cfRule type="expression" dxfId="8" priority="28">
      <formula>$K$35="Please Check The A/P Ratio"</formula>
    </cfRule>
  </conditionalFormatting>
  <conditionalFormatting sqref="J38">
    <cfRule type="expression" dxfId="1" priority="43">
      <formula>$J$38&lt;VLOOKUP($E$33,$I$41:$K$45,3,0)</formula>
    </cfRule>
  </conditionalFormatting>
  <conditionalFormatting sqref="E49">
    <cfRule type="expression" dxfId="4" priority="23">
      <formula>$E$49="-"</formula>
    </cfRule>
  </conditionalFormatting>
  <conditionalFormatting sqref="E56">
    <cfRule type="expression" dxfId="4" priority="22">
      <formula>$E$56="-"</formula>
    </cfRule>
  </conditionalFormatting>
  <conditionalFormatting sqref="E59">
    <cfRule type="expression" dxfId="8" priority="30">
      <formula>$E$59="Margin不足,請確認"</formula>
    </cfRule>
  </conditionalFormatting>
  <conditionalFormatting sqref="K58:L58 K77 K88 O88 O77">
    <cfRule type="expression" dxfId="8" priority="39">
      <formula>#REF!="Margin不足,請確認"</formula>
    </cfRule>
  </conditionalFormatting>
  <dataValidations count="19">
    <dataValidation type="list" allowBlank="1" showInputMessage="1" showErrorMessage="1" sqref="E10">
      <formula1>LED選型!$B$3:$B$67</formula1>
    </dataValidation>
    <dataValidation type="list" allowBlank="1" showInputMessage="1" showErrorMessage="1" sqref="E8">
      <formula1>"有APF POL,无APF POL"</formula1>
    </dataValidation>
    <dataValidation type="list" allowBlank="1" showInputMessage="1" showErrorMessage="1" sqref="J87">
      <formula1>$K$73:$M$73</formula1>
    </dataValidation>
    <dataValidation type="list" allowBlank="1" showInputMessage="1" showErrorMessage="1" sqref="D6">
      <formula1>量產機種資料!$E$7:$E$161</formula1>
    </dataValidation>
    <dataValidation type="list" allowBlank="1" showInputMessage="1" showErrorMessage="1" sqref="F1:G1">
      <formula1>"參考機種的模組亮度，參考機種的BLU亮度"</formula1>
    </dataValidation>
    <dataValidation type="list" allowBlank="1" showInputMessage="1" showErrorMessage="1" sqref="D4">
      <formula1>"使用參考機種的模組亮度,使用參考機種的BLU亮度"</formula1>
    </dataValidation>
    <dataValidation type="list" allowBlank="1" showInputMessage="1" showErrorMessage="1" sqref="E4">
      <formula1>"Bent胶框外凸,Bent胶框不外凸"</formula1>
    </dataValidation>
    <dataValidation type="list" allowBlank="1" showInputMessage="1" showErrorMessage="1" sqref="K6:L6">
      <formula1>棱鏡片選型!$C$3:$C$38</formula1>
    </dataValidation>
    <dataValidation type="list" allowBlank="1" showInputMessage="1" showErrorMessage="1" sqref="E11">
      <formula1>"有(1个Driver IC),有(2个Driver IC),无(1个Driver IC),无(2个Driver IC)"</formula1>
    </dataValidation>
    <dataValidation type="list" allowBlank="1" showInputMessage="1" showErrorMessage="1" sqref="E27">
      <formula1>'U-Diff.選型'!$B$3:$B$14</formula1>
    </dataValidation>
    <dataValidation allowBlank="1" showInputMessage="1" showErrorMessage="1" prompt="U折不内推，填:0&#10;U折内推，数值≥0.75" sqref="J29"/>
    <dataValidation type="list" allowBlank="1" showInputMessage="1" showErrorMessage="1" sqref="E32">
      <formula1>Ref.選型!$B$2:$B$18</formula1>
    </dataValidation>
    <dataValidation type="list" allowBlank="1" showInputMessage="1" showErrorMessage="1" sqref="E31">
      <formula1>'D-Diff.選型'!$B$2:$B$18</formula1>
    </dataValidation>
    <dataValidation type="list" allowBlank="1" showInputMessage="1" showErrorMessage="1" sqref="J31">
      <formula1>"LED之间横放,LED之间竖放,LED后面横放,无TVS"</formula1>
    </dataValidation>
    <dataValidation type="list" allowBlank="1" showInputMessage="1" showErrorMessage="1" sqref="E33">
      <formula1>$I$41:$I$45</formula1>
    </dataValidation>
    <dataValidation type="list" allowBlank="1" showInputMessage="1" showErrorMessage="1" sqref="E36">
      <formula1>"是(Normal),是(LB與LGP固定),否(Normal),否(LB與LGP固定)"</formula1>
    </dataValidation>
    <dataValidation type="list" allowBlank="1" showInputMessage="1" showErrorMessage="1" sqref="F34">
      <formula1>"热压PMMA,热压PC,注塑PMMA,注塑PC"</formula1>
    </dataValidation>
    <dataValidation type="list" allowBlank="1" showInputMessage="1" showErrorMessage="1" sqref="E35">
      <formula1>"PC 白,PC 灰,PC 黑"</formula1>
    </dataValidation>
    <dataValidation type="list" showInputMessage="1" showErrorMessage="1" sqref="E29:E30">
      <formula1>棱鏡片選型!$C$3:$C$40</formula1>
    </dataValidation>
  </dataValidations>
  <pageMargins left="0.7" right="0.7" top="0.75" bottom="0.75" header="0.3" footer="0.3"/>
  <pageSetup paperSize="9" orientation="portrait"/>
  <headerFooter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0"/>
  </sheetPr>
  <dimension ref="B2:BM26"/>
  <sheetViews>
    <sheetView workbookViewId="0">
      <selection activeCell="I10" sqref="I10"/>
    </sheetView>
  </sheetViews>
  <sheetFormatPr defaultColWidth="9" defaultRowHeight="14.4"/>
  <cols>
    <col min="1" max="1" width="3.66666666666667" customWidth="1"/>
    <col min="5" max="5" width="12.7777777777778" customWidth="1"/>
    <col min="6" max="6" width="15" customWidth="1"/>
    <col min="7" max="7" width="11.7777777777778" customWidth="1"/>
    <col min="8" max="9" width="12.1111111111111" customWidth="1"/>
    <col min="10" max="10" width="17.3333333333333" customWidth="1"/>
    <col min="11" max="12" width="12.2222222222222" customWidth="1"/>
    <col min="13" max="13" width="9.66666666666667" customWidth="1"/>
    <col min="14" max="14" width="6.77777777777778" customWidth="1"/>
    <col min="15" max="15" width="10.3333333333333" customWidth="1"/>
    <col min="16" max="16" width="11.2222222222222" customWidth="1"/>
    <col min="17" max="17" width="16.1111111111111" customWidth="1"/>
    <col min="18" max="18" width="10.8888888888889" customWidth="1"/>
    <col min="19" max="19" width="10" customWidth="1"/>
    <col min="20" max="20" width="12.7777777777778" customWidth="1"/>
    <col min="21" max="21" width="15" customWidth="1"/>
    <col min="22" max="22" width="12.1111111111111" customWidth="1"/>
    <col min="23" max="24" width="12.3333333333333" customWidth="1"/>
    <col min="25" max="25" width="17.6666666666667" customWidth="1"/>
    <col min="26" max="27" width="12.4444444444444" customWidth="1"/>
    <col min="28" max="28" width="9.88888888888889" customWidth="1"/>
    <col min="29" max="29" width="7" customWidth="1"/>
    <col min="30" max="30" width="10.6666666666667" customWidth="1"/>
    <col min="31" max="31" width="11.4444444444444" customWidth="1"/>
    <col min="32" max="32" width="11.1111111111111" customWidth="1"/>
    <col min="33" max="33" width="10.2222222222222" customWidth="1"/>
    <col min="34" max="34" width="12.7777777777778" customWidth="1"/>
    <col min="35" max="35" width="15" customWidth="1"/>
    <col min="36" max="36" width="11.8888888888889" customWidth="1"/>
    <col min="37" max="38" width="12.2222222222222" customWidth="1"/>
    <col min="39" max="39" width="17.4444444444444" customWidth="1"/>
    <col min="40" max="41" width="12.3333333333333" customWidth="1"/>
    <col min="42" max="42" width="6.88888888888889" customWidth="1"/>
    <col min="43" max="43" width="10.4444444444444" customWidth="1"/>
    <col min="44" max="44" width="11.3333333333333" customWidth="1"/>
    <col min="45" max="45" width="19.8888888888889" customWidth="1"/>
    <col min="46" max="46" width="11" customWidth="1"/>
    <col min="47" max="47" width="10.1111111111111" customWidth="1"/>
    <col min="48" max="48" width="9.77777777777778" customWidth="1"/>
    <col min="49" max="50" width="12.7777777777778" customWidth="1"/>
    <col min="51" max="51" width="15" customWidth="1"/>
    <col min="52" max="52" width="10.6666666666667" customWidth="1"/>
    <col min="53" max="53" width="17.7777777777778" customWidth="1"/>
    <col min="54" max="55" width="12.4444444444444" customWidth="1"/>
    <col min="56" max="57" width="12.6666666666667" customWidth="1"/>
    <col min="58" max="58" width="14.7777777777778" customWidth="1"/>
    <col min="59" max="59" width="11.8888888888889" customWidth="1"/>
    <col min="60" max="60" width="16.2222222222222" customWidth="1"/>
    <col min="61" max="61" width="17.4444444444444" customWidth="1"/>
    <col min="62" max="62" width="9.66666666666667" customWidth="1"/>
    <col min="63" max="63" width="11.1111111111111" customWidth="1"/>
    <col min="64" max="64" width="11.2222222222222" customWidth="1"/>
    <col min="65" max="65" width="10.6666666666667" customWidth="1"/>
  </cols>
  <sheetData>
    <row r="2" spans="2:65">
      <c r="B2" s="2116" t="s">
        <v>429</v>
      </c>
      <c r="C2" s="2116" t="s">
        <v>1012</v>
      </c>
      <c r="D2" s="2116" t="s">
        <v>1013</v>
      </c>
      <c r="E2" s="2117" t="s">
        <v>1014</v>
      </c>
      <c r="F2" s="2118"/>
      <c r="G2" s="2118"/>
      <c r="H2" s="2118"/>
      <c r="I2" s="2118"/>
      <c r="J2" s="2118"/>
      <c r="K2" s="2118"/>
      <c r="L2" s="2118"/>
      <c r="M2" s="2118"/>
      <c r="N2" s="2118"/>
      <c r="O2" s="2118"/>
      <c r="P2" s="2118"/>
      <c r="Q2" s="2118"/>
      <c r="R2" s="2118"/>
      <c r="S2" s="2121"/>
      <c r="T2" s="2117" t="s">
        <v>1015</v>
      </c>
      <c r="U2" s="2118"/>
      <c r="V2" s="2118"/>
      <c r="W2" s="2118"/>
      <c r="X2" s="2118"/>
      <c r="Y2" s="2118"/>
      <c r="Z2" s="2118"/>
      <c r="AA2" s="2118"/>
      <c r="AB2" s="2118"/>
      <c r="AC2" s="2118"/>
      <c r="AD2" s="2118"/>
      <c r="AE2" s="2118"/>
      <c r="AF2" s="2118"/>
      <c r="AG2" s="2121"/>
      <c r="AH2" s="2117" t="s">
        <v>1016</v>
      </c>
      <c r="AI2" s="2118"/>
      <c r="AJ2" s="2118"/>
      <c r="AK2" s="2118"/>
      <c r="AL2" s="2118"/>
      <c r="AM2" s="2118"/>
      <c r="AN2" s="2118"/>
      <c r="AO2" s="2118"/>
      <c r="AP2" s="2118"/>
      <c r="AQ2" s="2118"/>
      <c r="AR2" s="2118"/>
      <c r="AS2" s="2118"/>
      <c r="AT2" s="2118"/>
      <c r="AU2" s="2118"/>
      <c r="AV2" s="2121"/>
      <c r="AW2" s="2117" t="s">
        <v>1017</v>
      </c>
      <c r="AX2" s="2118"/>
      <c r="AY2" s="2118"/>
      <c r="AZ2" s="2118"/>
      <c r="BA2" s="2118"/>
      <c r="BB2" s="2118"/>
      <c r="BC2" s="2118"/>
      <c r="BD2" s="2118"/>
      <c r="BE2" s="2118"/>
      <c r="BF2" s="2118"/>
      <c r="BG2" s="2118"/>
      <c r="BH2" s="2118"/>
      <c r="BI2" s="2118"/>
      <c r="BJ2" s="2118"/>
      <c r="BK2" s="2118"/>
      <c r="BL2" s="2118"/>
      <c r="BM2" s="2121"/>
    </row>
    <row r="3" spans="2:65">
      <c r="B3" s="2116"/>
      <c r="C3" s="2116"/>
      <c r="D3" s="2116"/>
      <c r="E3" s="2119" t="s">
        <v>1018</v>
      </c>
      <c r="F3" s="2119" t="s">
        <v>1019</v>
      </c>
      <c r="G3" s="2120" t="s">
        <v>173</v>
      </c>
      <c r="H3" s="2120" t="s">
        <v>175</v>
      </c>
      <c r="I3" s="2120" t="s">
        <v>177</v>
      </c>
      <c r="J3" s="2120" t="s">
        <v>179</v>
      </c>
      <c r="K3" s="2120" t="s">
        <v>181</v>
      </c>
      <c r="L3" s="2120" t="s">
        <v>182</v>
      </c>
      <c r="M3" s="2120" t="s">
        <v>184</v>
      </c>
      <c r="N3" s="2120" t="s">
        <v>185</v>
      </c>
      <c r="O3" s="2120" t="s">
        <v>186</v>
      </c>
      <c r="P3" s="2120" t="s">
        <v>188</v>
      </c>
      <c r="Q3" s="2120" t="s">
        <v>190</v>
      </c>
      <c r="R3" s="2122" t="s">
        <v>191</v>
      </c>
      <c r="S3" s="2122" t="s">
        <v>194</v>
      </c>
      <c r="T3" s="2119" t="s">
        <v>1020</v>
      </c>
      <c r="U3" s="2119" t="s">
        <v>1021</v>
      </c>
      <c r="V3" s="2120" t="s">
        <v>212</v>
      </c>
      <c r="W3" s="2120" t="s">
        <v>213</v>
      </c>
      <c r="X3" s="2120" t="s">
        <v>214</v>
      </c>
      <c r="Y3" s="2120" t="s">
        <v>215</v>
      </c>
      <c r="Z3" s="2120" t="s">
        <v>216</v>
      </c>
      <c r="AA3" s="2120" t="s">
        <v>217</v>
      </c>
      <c r="AB3" s="2120" t="s">
        <v>218</v>
      </c>
      <c r="AC3" s="2120" t="s">
        <v>219</v>
      </c>
      <c r="AD3" s="2120" t="s">
        <v>220</v>
      </c>
      <c r="AE3" s="2120" t="s">
        <v>221</v>
      </c>
      <c r="AF3" s="2123" t="s">
        <v>223</v>
      </c>
      <c r="AG3" s="2122" t="s">
        <v>225</v>
      </c>
      <c r="AH3" s="2119" t="s">
        <v>1022</v>
      </c>
      <c r="AI3" s="2119" t="s">
        <v>1023</v>
      </c>
      <c r="AJ3" s="2124" t="s">
        <v>242</v>
      </c>
      <c r="AK3" s="2124" t="s">
        <v>243</v>
      </c>
      <c r="AL3" s="2124" t="s">
        <v>244</v>
      </c>
      <c r="AM3" s="2124" t="s">
        <v>245</v>
      </c>
      <c r="AN3" s="2124" t="s">
        <v>246</v>
      </c>
      <c r="AO3" s="2124" t="s">
        <v>247</v>
      </c>
      <c r="AP3" s="2124" t="s">
        <v>248</v>
      </c>
      <c r="AQ3" s="2124" t="s">
        <v>249</v>
      </c>
      <c r="AR3" s="2124" t="s">
        <v>250</v>
      </c>
      <c r="AS3" s="2124" t="s">
        <v>251</v>
      </c>
      <c r="AT3" s="2122" t="s">
        <v>254</v>
      </c>
      <c r="AU3" s="2122" t="s">
        <v>256</v>
      </c>
      <c r="AV3" s="2122" t="s">
        <v>258</v>
      </c>
      <c r="AW3" s="2119" t="s">
        <v>1024</v>
      </c>
      <c r="AX3" s="2119" t="s">
        <v>1025</v>
      </c>
      <c r="AY3" s="2119" t="s">
        <v>1026</v>
      </c>
      <c r="AZ3" s="2124" t="s">
        <v>277</v>
      </c>
      <c r="BA3" s="2124" t="s">
        <v>279</v>
      </c>
      <c r="BB3" s="2124" t="s">
        <v>280</v>
      </c>
      <c r="BC3" s="2124" t="s">
        <v>282</v>
      </c>
      <c r="BD3" s="2124" t="s">
        <v>283</v>
      </c>
      <c r="BE3" s="2124" t="s">
        <v>284</v>
      </c>
      <c r="BF3" s="2124" t="s">
        <v>285</v>
      </c>
      <c r="BG3" s="2124" t="s">
        <v>287</v>
      </c>
      <c r="BH3" s="2124" t="s">
        <v>288</v>
      </c>
      <c r="BI3" s="2125" t="s">
        <v>290</v>
      </c>
      <c r="BJ3" s="2124" t="s">
        <v>291</v>
      </c>
      <c r="BK3" s="2124" t="s">
        <v>293</v>
      </c>
      <c r="BL3" s="2122" t="s">
        <v>301</v>
      </c>
      <c r="BM3" s="2122" t="s">
        <v>303</v>
      </c>
    </row>
    <row r="4" spans="2:65">
      <c r="B4" s="1668"/>
      <c r="C4" s="1668"/>
      <c r="D4" s="1668"/>
      <c r="E4" s="1668"/>
      <c r="F4" s="1668"/>
      <c r="G4" s="1668"/>
      <c r="H4" s="1668"/>
      <c r="I4" s="1668"/>
      <c r="J4" s="1668"/>
      <c r="K4" s="1668"/>
      <c r="L4" s="1668"/>
      <c r="M4" s="1668"/>
      <c r="N4" s="1668"/>
      <c r="O4" s="1668"/>
      <c r="P4" s="1668"/>
      <c r="Q4" s="1668"/>
      <c r="R4" s="1668"/>
      <c r="S4" s="1668"/>
      <c r="T4" s="1668"/>
      <c r="U4" s="1668"/>
      <c r="V4" s="1668"/>
      <c r="W4" s="1668"/>
      <c r="X4" s="1668"/>
      <c r="Y4" s="1668"/>
      <c r="Z4" s="1668"/>
      <c r="AA4" s="1668"/>
      <c r="AB4" s="1668"/>
      <c r="AC4" s="1668"/>
      <c r="AD4" s="1668"/>
      <c r="AE4" s="1668"/>
      <c r="AF4" s="1668"/>
      <c r="AG4" s="1668"/>
      <c r="AH4" s="1668"/>
      <c r="AI4" s="1668"/>
      <c r="AJ4" s="1668"/>
      <c r="AK4" s="1668"/>
      <c r="AL4" s="1668"/>
      <c r="AM4" s="1668"/>
      <c r="AN4" s="1668"/>
      <c r="AO4" s="1668"/>
      <c r="AP4" s="1668"/>
      <c r="AQ4" s="1668"/>
      <c r="AR4" s="1668"/>
      <c r="AS4" s="1668"/>
      <c r="AT4" s="1668"/>
      <c r="AU4" s="1668"/>
      <c r="AV4" s="1668"/>
      <c r="AW4" s="1668"/>
      <c r="AX4" s="1668"/>
      <c r="AY4" s="1668"/>
      <c r="AZ4" s="1668"/>
      <c r="BA4" s="1668"/>
      <c r="BB4" s="1668"/>
      <c r="BC4" s="1668"/>
      <c r="BD4" s="1668"/>
      <c r="BE4" s="1668"/>
      <c r="BF4" s="1668"/>
      <c r="BG4" s="1668"/>
      <c r="BH4" s="1668"/>
      <c r="BI4" s="1668"/>
      <c r="BJ4" s="1668"/>
      <c r="BK4" s="1668"/>
      <c r="BL4" s="1668"/>
      <c r="BM4" s="1668"/>
    </row>
    <row r="5" spans="2:65">
      <c r="B5" s="1668"/>
      <c r="C5" s="1668"/>
      <c r="D5" s="1668"/>
      <c r="E5" s="1668"/>
      <c r="F5" s="1668"/>
      <c r="G5" s="1668"/>
      <c r="H5" s="1668"/>
      <c r="I5" s="1668"/>
      <c r="J5" s="1668"/>
      <c r="K5" s="1668"/>
      <c r="L5" s="1668"/>
      <c r="M5" s="1668"/>
      <c r="N5" s="1668"/>
      <c r="O5" s="1668"/>
      <c r="P5" s="1668"/>
      <c r="Q5" s="1668"/>
      <c r="R5" s="1668"/>
      <c r="S5" s="1668"/>
      <c r="T5" s="1668"/>
      <c r="U5" s="1668"/>
      <c r="V5" s="1668"/>
      <c r="W5" s="1668"/>
      <c r="X5" s="1668"/>
      <c r="Y5" s="1668"/>
      <c r="Z5" s="1668"/>
      <c r="AA5" s="1668"/>
      <c r="AB5" s="1668"/>
      <c r="AC5" s="1668"/>
      <c r="AD5" s="1668"/>
      <c r="AE5" s="1668"/>
      <c r="AF5" s="1668"/>
      <c r="AG5" s="1668"/>
      <c r="AH5" s="1668"/>
      <c r="AI5" s="1668"/>
      <c r="AJ5" s="1668"/>
      <c r="AK5" s="1668"/>
      <c r="AL5" s="1668"/>
      <c r="AM5" s="1668"/>
      <c r="AN5" s="1668"/>
      <c r="AO5" s="1668"/>
      <c r="AP5" s="1668"/>
      <c r="AQ5" s="1668"/>
      <c r="AR5" s="1668"/>
      <c r="AS5" s="1668"/>
      <c r="AT5" s="1668"/>
      <c r="AU5" s="1668"/>
      <c r="AV5" s="1668"/>
      <c r="AW5" s="1668"/>
      <c r="AX5" s="1668"/>
      <c r="AY5" s="1668"/>
      <c r="AZ5" s="1668"/>
      <c r="BA5" s="1668"/>
      <c r="BB5" s="1668"/>
      <c r="BC5" s="1668"/>
      <c r="BD5" s="1668"/>
      <c r="BE5" s="1668"/>
      <c r="BF5" s="1668"/>
      <c r="BG5" s="1668"/>
      <c r="BH5" s="1668"/>
      <c r="BI5" s="1668"/>
      <c r="BJ5" s="1668"/>
      <c r="BK5" s="1668"/>
      <c r="BL5" s="1668"/>
      <c r="BM5" s="1668"/>
    </row>
    <row r="6" spans="2:65">
      <c r="B6" s="1668"/>
      <c r="C6" s="1668"/>
      <c r="D6" s="1668"/>
      <c r="E6" s="1668"/>
      <c r="F6" s="1668"/>
      <c r="G6" s="1668"/>
      <c r="H6" s="1668"/>
      <c r="I6" s="1668"/>
      <c r="J6" s="1668"/>
      <c r="K6" s="1668"/>
      <c r="L6" s="1668"/>
      <c r="M6" s="1668"/>
      <c r="N6" s="1668"/>
      <c r="O6" s="1668"/>
      <c r="P6" s="1668"/>
      <c r="Q6" s="1668"/>
      <c r="R6" s="1668"/>
      <c r="S6" s="1668"/>
      <c r="T6" s="1668"/>
      <c r="U6" s="1668"/>
      <c r="V6" s="1668"/>
      <c r="W6" s="1668"/>
      <c r="X6" s="1668"/>
      <c r="Y6" s="1668"/>
      <c r="Z6" s="1668"/>
      <c r="AA6" s="1668"/>
      <c r="AB6" s="1668"/>
      <c r="AC6" s="1668"/>
      <c r="AD6" s="1668"/>
      <c r="AE6" s="1668"/>
      <c r="AF6" s="1668"/>
      <c r="AG6" s="1668"/>
      <c r="AH6" s="1668"/>
      <c r="AI6" s="1668"/>
      <c r="AJ6" s="1668"/>
      <c r="AK6" s="1668"/>
      <c r="AL6" s="1668"/>
      <c r="AM6" s="1668"/>
      <c r="AN6" s="1668"/>
      <c r="AO6" s="1668"/>
      <c r="AP6" s="1668"/>
      <c r="AQ6" s="1668"/>
      <c r="AR6" s="1668"/>
      <c r="AS6" s="1668"/>
      <c r="AT6" s="1668"/>
      <c r="AU6" s="1668"/>
      <c r="AV6" s="1668"/>
      <c r="AW6" s="1668"/>
      <c r="AX6" s="1668"/>
      <c r="AY6" s="1668"/>
      <c r="AZ6" s="1668"/>
      <c r="BA6" s="1668"/>
      <c r="BB6" s="1668"/>
      <c r="BC6" s="1668"/>
      <c r="BD6" s="1668"/>
      <c r="BE6" s="1668"/>
      <c r="BF6" s="1668"/>
      <c r="BG6" s="1668"/>
      <c r="BH6" s="1668"/>
      <c r="BI6" s="1668"/>
      <c r="BJ6" s="1668"/>
      <c r="BK6" s="1668"/>
      <c r="BL6" s="1668"/>
      <c r="BM6" s="1668"/>
    </row>
    <row r="7" spans="2:65">
      <c r="B7" s="1668"/>
      <c r="C7" s="1668"/>
      <c r="D7" s="1668"/>
      <c r="E7" s="1668"/>
      <c r="F7" s="1668"/>
      <c r="G7" s="1668"/>
      <c r="H7" s="1668"/>
      <c r="I7" s="1668"/>
      <c r="J7" s="1668"/>
      <c r="K7" s="1668"/>
      <c r="L7" s="1668"/>
      <c r="M7" s="1668"/>
      <c r="N7" s="1668"/>
      <c r="O7" s="1668"/>
      <c r="P7" s="1668"/>
      <c r="Q7" s="1668"/>
      <c r="R7" s="1668"/>
      <c r="S7" s="1668"/>
      <c r="T7" s="1668"/>
      <c r="U7" s="1668"/>
      <c r="V7" s="1668"/>
      <c r="W7" s="1668"/>
      <c r="X7" s="1668"/>
      <c r="Y7" s="1668"/>
      <c r="Z7" s="1668"/>
      <c r="AA7" s="1668"/>
      <c r="AB7" s="1668"/>
      <c r="AC7" s="1668"/>
      <c r="AD7" s="1668"/>
      <c r="AE7" s="1668"/>
      <c r="AF7" s="1668"/>
      <c r="AG7" s="1668"/>
      <c r="AH7" s="1668"/>
      <c r="AI7" s="1668"/>
      <c r="AJ7" s="1668"/>
      <c r="AK7" s="1668"/>
      <c r="AL7" s="1668"/>
      <c r="AM7" s="1668"/>
      <c r="AN7" s="1668"/>
      <c r="AO7" s="1668"/>
      <c r="AP7" s="1668"/>
      <c r="AQ7" s="1668"/>
      <c r="AR7" s="1668"/>
      <c r="AS7" s="1668"/>
      <c r="AT7" s="1668"/>
      <c r="AU7" s="1668"/>
      <c r="AV7" s="1668"/>
      <c r="AW7" s="1668"/>
      <c r="AX7" s="1668"/>
      <c r="AY7" s="1668"/>
      <c r="AZ7" s="1668"/>
      <c r="BA7" s="1668"/>
      <c r="BB7" s="1668"/>
      <c r="BC7" s="1668"/>
      <c r="BD7" s="1668"/>
      <c r="BE7" s="1668"/>
      <c r="BF7" s="1668"/>
      <c r="BG7" s="1668"/>
      <c r="BH7" s="1668"/>
      <c r="BI7" s="1668"/>
      <c r="BJ7" s="1668"/>
      <c r="BK7" s="1668"/>
      <c r="BL7" s="1668"/>
      <c r="BM7" s="1668"/>
    </row>
    <row r="8" spans="2:65">
      <c r="B8" s="1668"/>
      <c r="C8" s="1668"/>
      <c r="D8" s="1668"/>
      <c r="E8" s="1668"/>
      <c r="F8" s="1668"/>
      <c r="G8" s="1668"/>
      <c r="H8" s="1668"/>
      <c r="I8" s="1668"/>
      <c r="J8" s="1668"/>
      <c r="K8" s="1668"/>
      <c r="L8" s="1668"/>
      <c r="M8" s="1668"/>
      <c r="N8" s="1668"/>
      <c r="O8" s="1668"/>
      <c r="P8" s="1668"/>
      <c r="Q8" s="1668"/>
      <c r="R8" s="1668"/>
      <c r="S8" s="1668"/>
      <c r="T8" s="1668"/>
      <c r="U8" s="1668"/>
      <c r="V8" s="1668"/>
      <c r="W8" s="1668"/>
      <c r="X8" s="1668"/>
      <c r="Y8" s="1668"/>
      <c r="Z8" s="1668"/>
      <c r="AA8" s="1668"/>
      <c r="AB8" s="1668"/>
      <c r="AC8" s="1668"/>
      <c r="AD8" s="1668"/>
      <c r="AE8" s="1668"/>
      <c r="AF8" s="1668"/>
      <c r="AG8" s="1668"/>
      <c r="AH8" s="1668"/>
      <c r="AI8" s="1668"/>
      <c r="AJ8" s="1668"/>
      <c r="AK8" s="1668"/>
      <c r="AL8" s="1668"/>
      <c r="AM8" s="1668"/>
      <c r="AN8" s="1668"/>
      <c r="AO8" s="1668"/>
      <c r="AP8" s="1668"/>
      <c r="AQ8" s="1668"/>
      <c r="AR8" s="1668"/>
      <c r="AS8" s="1668"/>
      <c r="AT8" s="1668"/>
      <c r="AU8" s="1668"/>
      <c r="AV8" s="1668"/>
      <c r="AW8" s="1668"/>
      <c r="AX8" s="1668"/>
      <c r="AY8" s="1668"/>
      <c r="AZ8" s="1668"/>
      <c r="BA8" s="1668"/>
      <c r="BB8" s="1668"/>
      <c r="BC8" s="1668"/>
      <c r="BD8" s="1668"/>
      <c r="BE8" s="1668"/>
      <c r="BF8" s="1668"/>
      <c r="BG8" s="1668"/>
      <c r="BH8" s="1668"/>
      <c r="BI8" s="1668"/>
      <c r="BJ8" s="1668"/>
      <c r="BK8" s="1668"/>
      <c r="BL8" s="1668"/>
      <c r="BM8" s="1668"/>
    </row>
    <row r="9" spans="2:65">
      <c r="B9" s="1668"/>
      <c r="C9" s="1668"/>
      <c r="D9" s="1668"/>
      <c r="E9" s="1668"/>
      <c r="F9" s="1668"/>
      <c r="G9" s="1668"/>
      <c r="H9" s="1668"/>
      <c r="I9" s="1668"/>
      <c r="J9" s="1668"/>
      <c r="K9" s="1668"/>
      <c r="L9" s="1668"/>
      <c r="M9" s="1668"/>
      <c r="N9" s="1668"/>
      <c r="O9" s="1668"/>
      <c r="P9" s="1668"/>
      <c r="Q9" s="1668"/>
      <c r="R9" s="1668"/>
      <c r="S9" s="1668"/>
      <c r="T9" s="1668"/>
      <c r="U9" s="1668"/>
      <c r="V9" s="1668"/>
      <c r="W9" s="1668"/>
      <c r="X9" s="1668"/>
      <c r="Y9" s="1668"/>
      <c r="Z9" s="1668"/>
      <c r="AA9" s="1668"/>
      <c r="AB9" s="1668"/>
      <c r="AC9" s="1668"/>
      <c r="AD9" s="1668"/>
      <c r="AE9" s="1668"/>
      <c r="AF9" s="1668"/>
      <c r="AG9" s="1668"/>
      <c r="AH9" s="1668"/>
      <c r="AI9" s="1668"/>
      <c r="AJ9" s="1668"/>
      <c r="AK9" s="1668"/>
      <c r="AL9" s="1668"/>
      <c r="AM9" s="1668"/>
      <c r="AN9" s="1668"/>
      <c r="AO9" s="1668"/>
      <c r="AP9" s="1668"/>
      <c r="AQ9" s="1668"/>
      <c r="AR9" s="1668"/>
      <c r="AS9" s="1668"/>
      <c r="AT9" s="1668"/>
      <c r="AU9" s="1668"/>
      <c r="AV9" s="1668"/>
      <c r="AW9" s="1668"/>
      <c r="AX9" s="1668"/>
      <c r="AY9" s="1668"/>
      <c r="AZ9" s="1668"/>
      <c r="BA9" s="1668"/>
      <c r="BB9" s="1668"/>
      <c r="BC9" s="1668"/>
      <c r="BD9" s="1668"/>
      <c r="BE9" s="1668"/>
      <c r="BF9" s="1668"/>
      <c r="BG9" s="1668"/>
      <c r="BH9" s="1668"/>
      <c r="BI9" s="1668"/>
      <c r="BJ9" s="1668"/>
      <c r="BK9" s="1668"/>
      <c r="BL9" s="1668"/>
      <c r="BM9" s="1668"/>
    </row>
    <row r="10" spans="2:65">
      <c r="B10" s="1668"/>
      <c r="C10" s="1668"/>
      <c r="D10" s="1668"/>
      <c r="E10" s="1668"/>
      <c r="F10" s="1668"/>
      <c r="G10" s="1668"/>
      <c r="H10" s="1668"/>
      <c r="I10" s="1668"/>
      <c r="J10" s="1668"/>
      <c r="K10" s="1668"/>
      <c r="L10" s="1668"/>
      <c r="M10" s="1668"/>
      <c r="N10" s="1668"/>
      <c r="O10" s="1668"/>
      <c r="P10" s="1668"/>
      <c r="Q10" s="1668"/>
      <c r="R10" s="1668"/>
      <c r="S10" s="1668"/>
      <c r="T10" s="1668"/>
      <c r="U10" s="1668"/>
      <c r="V10" s="1668"/>
      <c r="W10" s="1668"/>
      <c r="X10" s="1668"/>
      <c r="Y10" s="1668"/>
      <c r="Z10" s="1668"/>
      <c r="AA10" s="1668"/>
      <c r="AB10" s="1668"/>
      <c r="AC10" s="1668"/>
      <c r="AD10" s="1668"/>
      <c r="AE10" s="1668"/>
      <c r="AF10" s="1668"/>
      <c r="AG10" s="1668"/>
      <c r="AH10" s="1668"/>
      <c r="AI10" s="1668"/>
      <c r="AJ10" s="1668"/>
      <c r="AK10" s="1668"/>
      <c r="AL10" s="1668"/>
      <c r="AM10" s="1668"/>
      <c r="AN10" s="1668"/>
      <c r="AO10" s="1668"/>
      <c r="AP10" s="1668"/>
      <c r="AQ10" s="1668"/>
      <c r="AR10" s="1668"/>
      <c r="AS10" s="1668"/>
      <c r="AT10" s="1668"/>
      <c r="AU10" s="1668"/>
      <c r="AV10" s="1668"/>
      <c r="AW10" s="1668"/>
      <c r="AX10" s="1668"/>
      <c r="AY10" s="1668"/>
      <c r="AZ10" s="1668"/>
      <c r="BA10" s="1668"/>
      <c r="BB10" s="1668"/>
      <c r="BC10" s="1668"/>
      <c r="BD10" s="1668"/>
      <c r="BE10" s="1668"/>
      <c r="BF10" s="1668"/>
      <c r="BG10" s="1668"/>
      <c r="BH10" s="1668"/>
      <c r="BI10" s="1668"/>
      <c r="BJ10" s="1668"/>
      <c r="BK10" s="1668"/>
      <c r="BL10" s="1668"/>
      <c r="BM10" s="1668"/>
    </row>
    <row r="11" spans="2:65">
      <c r="B11" s="1668"/>
      <c r="C11" s="1668"/>
      <c r="D11" s="1668"/>
      <c r="E11" s="1668"/>
      <c r="F11" s="1668"/>
      <c r="G11" s="1668"/>
      <c r="H11" s="1668"/>
      <c r="I11" s="1668"/>
      <c r="J11" s="1668"/>
      <c r="K11" s="1668"/>
      <c r="L11" s="1668"/>
      <c r="M11" s="1668"/>
      <c r="N11" s="1668"/>
      <c r="O11" s="1668"/>
      <c r="P11" s="1668"/>
      <c r="Q11" s="1668"/>
      <c r="R11" s="1668"/>
      <c r="S11" s="1668"/>
      <c r="T11" s="1668"/>
      <c r="U11" s="1668"/>
      <c r="V11" s="1668"/>
      <c r="W11" s="1668"/>
      <c r="X11" s="1668"/>
      <c r="Y11" s="1668"/>
      <c r="Z11" s="1668"/>
      <c r="AA11" s="1668"/>
      <c r="AB11" s="1668"/>
      <c r="AC11" s="1668"/>
      <c r="AD11" s="1668"/>
      <c r="AE11" s="1668"/>
      <c r="AF11" s="1668"/>
      <c r="AG11" s="1668"/>
      <c r="AH11" s="1668"/>
      <c r="AI11" s="1668"/>
      <c r="AJ11" s="1668"/>
      <c r="AK11" s="1668"/>
      <c r="AL11" s="1668"/>
      <c r="AM11" s="1668"/>
      <c r="AN11" s="1668"/>
      <c r="AO11" s="1668"/>
      <c r="AP11" s="1668"/>
      <c r="AQ11" s="1668"/>
      <c r="AR11" s="1668"/>
      <c r="AS11" s="1668"/>
      <c r="AT11" s="1668"/>
      <c r="AU11" s="1668"/>
      <c r="AV11" s="1668"/>
      <c r="AW11" s="1668"/>
      <c r="AX11" s="1668"/>
      <c r="AY11" s="1668"/>
      <c r="AZ11" s="1668"/>
      <c r="BA11" s="1668"/>
      <c r="BB11" s="1668"/>
      <c r="BC11" s="1668"/>
      <c r="BD11" s="1668"/>
      <c r="BE11" s="1668"/>
      <c r="BF11" s="1668"/>
      <c r="BG11" s="1668"/>
      <c r="BH11" s="1668"/>
      <c r="BI11" s="1668"/>
      <c r="BJ11" s="1668"/>
      <c r="BK11" s="1668"/>
      <c r="BL11" s="1668"/>
      <c r="BM11" s="1668"/>
    </row>
    <row r="12" spans="2:65">
      <c r="B12" s="1668"/>
      <c r="C12" s="1668"/>
      <c r="D12" s="1668"/>
      <c r="E12" s="1668"/>
      <c r="F12" s="1668"/>
      <c r="G12" s="1668"/>
      <c r="H12" s="1668"/>
      <c r="I12" s="1668"/>
      <c r="J12" s="1668"/>
      <c r="K12" s="1668"/>
      <c r="L12" s="1668"/>
      <c r="M12" s="1668"/>
      <c r="N12" s="1668"/>
      <c r="O12" s="1668"/>
      <c r="P12" s="1668"/>
      <c r="Q12" s="1668"/>
      <c r="R12" s="1668"/>
      <c r="S12" s="1668"/>
      <c r="T12" s="1668"/>
      <c r="U12" s="1668"/>
      <c r="V12" s="1668"/>
      <c r="W12" s="1668"/>
      <c r="X12" s="1668"/>
      <c r="Y12" s="1668"/>
      <c r="Z12" s="1668"/>
      <c r="AA12" s="1668"/>
      <c r="AB12" s="1668"/>
      <c r="AC12" s="1668"/>
      <c r="AD12" s="1668"/>
      <c r="AE12" s="1668"/>
      <c r="AF12" s="1668"/>
      <c r="AG12" s="1668"/>
      <c r="AH12" s="1668"/>
      <c r="AI12" s="1668"/>
      <c r="AJ12" s="1668"/>
      <c r="AK12" s="1668"/>
      <c r="AL12" s="1668"/>
      <c r="AM12" s="1668"/>
      <c r="AN12" s="1668"/>
      <c r="AO12" s="1668"/>
      <c r="AP12" s="1668"/>
      <c r="AQ12" s="1668"/>
      <c r="AR12" s="1668"/>
      <c r="AS12" s="1668"/>
      <c r="AT12" s="1668"/>
      <c r="AU12" s="1668"/>
      <c r="AV12" s="1668"/>
      <c r="AW12" s="1668"/>
      <c r="AX12" s="1668"/>
      <c r="AY12" s="1668"/>
      <c r="AZ12" s="1668"/>
      <c r="BA12" s="1668"/>
      <c r="BB12" s="1668"/>
      <c r="BC12" s="1668"/>
      <c r="BD12" s="1668"/>
      <c r="BE12" s="1668"/>
      <c r="BF12" s="1668"/>
      <c r="BG12" s="1668"/>
      <c r="BH12" s="1668"/>
      <c r="BI12" s="1668"/>
      <c r="BJ12" s="1668"/>
      <c r="BK12" s="1668"/>
      <c r="BL12" s="1668"/>
      <c r="BM12" s="1668"/>
    </row>
    <row r="13" spans="2:65">
      <c r="B13" s="1668"/>
      <c r="C13" s="1668"/>
      <c r="D13" s="1668"/>
      <c r="E13" s="1668"/>
      <c r="F13" s="1668"/>
      <c r="G13" s="1668"/>
      <c r="H13" s="1668"/>
      <c r="I13" s="1668"/>
      <c r="J13" s="1668"/>
      <c r="K13" s="1668"/>
      <c r="L13" s="1668"/>
      <c r="M13" s="1668"/>
      <c r="N13" s="1668"/>
      <c r="O13" s="1668"/>
      <c r="P13" s="1668"/>
      <c r="Q13" s="1668"/>
      <c r="R13" s="1668"/>
      <c r="S13" s="1668"/>
      <c r="T13" s="1668"/>
      <c r="U13" s="1668"/>
      <c r="V13" s="1668"/>
      <c r="W13" s="1668"/>
      <c r="X13" s="1668"/>
      <c r="Y13" s="1668"/>
      <c r="Z13" s="1668"/>
      <c r="AA13" s="1668"/>
      <c r="AB13" s="1668"/>
      <c r="AC13" s="1668"/>
      <c r="AD13" s="1668"/>
      <c r="AE13" s="1668"/>
      <c r="AF13" s="1668"/>
      <c r="AG13" s="1668"/>
      <c r="AH13" s="1668"/>
      <c r="AI13" s="1668"/>
      <c r="AJ13" s="1668"/>
      <c r="AK13" s="1668"/>
      <c r="AL13" s="1668"/>
      <c r="AM13" s="1668"/>
      <c r="AN13" s="1668"/>
      <c r="AO13" s="1668"/>
      <c r="AP13" s="1668"/>
      <c r="AQ13" s="1668"/>
      <c r="AR13" s="1668"/>
      <c r="AS13" s="1668"/>
      <c r="AT13" s="1668"/>
      <c r="AU13" s="1668"/>
      <c r="AV13" s="1668"/>
      <c r="AW13" s="1668"/>
      <c r="AX13" s="1668"/>
      <c r="AY13" s="1668"/>
      <c r="AZ13" s="1668"/>
      <c r="BA13" s="1668"/>
      <c r="BB13" s="1668"/>
      <c r="BC13" s="1668"/>
      <c r="BD13" s="1668"/>
      <c r="BE13" s="1668"/>
      <c r="BF13" s="1668"/>
      <c r="BG13" s="1668"/>
      <c r="BH13" s="1668"/>
      <c r="BI13" s="1668"/>
      <c r="BJ13" s="1668"/>
      <c r="BK13" s="1668"/>
      <c r="BL13" s="1668"/>
      <c r="BM13" s="1668"/>
    </row>
    <row r="14" spans="2:65">
      <c r="B14" s="1668"/>
      <c r="C14" s="1668"/>
      <c r="D14" s="1668"/>
      <c r="E14" s="1668"/>
      <c r="F14" s="1668"/>
      <c r="G14" s="1668"/>
      <c r="H14" s="1668"/>
      <c r="I14" s="1668"/>
      <c r="J14" s="1668"/>
      <c r="K14" s="1668"/>
      <c r="L14" s="1668"/>
      <c r="M14" s="1668"/>
      <c r="N14" s="1668"/>
      <c r="O14" s="1668"/>
      <c r="P14" s="1668"/>
      <c r="Q14" s="1668"/>
      <c r="R14" s="1668"/>
      <c r="S14" s="1668"/>
      <c r="T14" s="1668"/>
      <c r="U14" s="1668"/>
      <c r="V14" s="1668"/>
      <c r="W14" s="1668"/>
      <c r="X14" s="1668"/>
      <c r="Y14" s="1668"/>
      <c r="Z14" s="1668"/>
      <c r="AA14" s="1668"/>
      <c r="AB14" s="1668"/>
      <c r="AC14" s="1668"/>
      <c r="AD14" s="1668"/>
      <c r="AE14" s="1668"/>
      <c r="AF14" s="1668"/>
      <c r="AG14" s="1668"/>
      <c r="AH14" s="1668"/>
      <c r="AI14" s="1668"/>
      <c r="AJ14" s="1668"/>
      <c r="AK14" s="1668"/>
      <c r="AL14" s="1668"/>
      <c r="AM14" s="1668"/>
      <c r="AN14" s="1668"/>
      <c r="AO14" s="1668"/>
      <c r="AP14" s="1668"/>
      <c r="AQ14" s="1668"/>
      <c r="AR14" s="1668"/>
      <c r="AS14" s="1668"/>
      <c r="AT14" s="1668"/>
      <c r="AU14" s="1668"/>
      <c r="AV14" s="1668"/>
      <c r="AW14" s="1668"/>
      <c r="AX14" s="1668"/>
      <c r="AY14" s="1668"/>
      <c r="AZ14" s="1668"/>
      <c r="BA14" s="1668"/>
      <c r="BB14" s="1668"/>
      <c r="BC14" s="1668"/>
      <c r="BD14" s="1668"/>
      <c r="BE14" s="1668"/>
      <c r="BF14" s="1668"/>
      <c r="BG14" s="1668"/>
      <c r="BH14" s="1668"/>
      <c r="BI14" s="1668"/>
      <c r="BJ14" s="1668"/>
      <c r="BK14" s="1668"/>
      <c r="BL14" s="1668"/>
      <c r="BM14" s="1668"/>
    </row>
    <row r="15" spans="2:65">
      <c r="B15" s="1668"/>
      <c r="C15" s="1668"/>
      <c r="D15" s="1668"/>
      <c r="E15" s="1668"/>
      <c r="F15" s="1668"/>
      <c r="G15" s="1668"/>
      <c r="H15" s="1668"/>
      <c r="I15" s="1668"/>
      <c r="J15" s="1668"/>
      <c r="K15" s="1668"/>
      <c r="L15" s="1668"/>
      <c r="M15" s="1668"/>
      <c r="N15" s="1668"/>
      <c r="O15" s="1668"/>
      <c r="P15" s="1668"/>
      <c r="Q15" s="1668"/>
      <c r="R15" s="1668"/>
      <c r="S15" s="1668"/>
      <c r="T15" s="1668"/>
      <c r="U15" s="1668"/>
      <c r="V15" s="1668"/>
      <c r="W15" s="1668"/>
      <c r="X15" s="1668"/>
      <c r="Y15" s="1668"/>
      <c r="Z15" s="1668"/>
      <c r="AA15" s="1668"/>
      <c r="AB15" s="1668"/>
      <c r="AC15" s="1668"/>
      <c r="AD15" s="1668"/>
      <c r="AE15" s="1668"/>
      <c r="AF15" s="1668"/>
      <c r="AG15" s="1668"/>
      <c r="AH15" s="1668"/>
      <c r="AI15" s="1668"/>
      <c r="AJ15" s="1668"/>
      <c r="AK15" s="1668"/>
      <c r="AL15" s="1668"/>
      <c r="AM15" s="1668"/>
      <c r="AN15" s="1668"/>
      <c r="AO15" s="1668"/>
      <c r="AP15" s="1668"/>
      <c r="AQ15" s="1668"/>
      <c r="AR15" s="1668"/>
      <c r="AS15" s="1668"/>
      <c r="AT15" s="1668"/>
      <c r="AU15" s="1668"/>
      <c r="AV15" s="1668"/>
      <c r="AW15" s="1668"/>
      <c r="AX15" s="1668"/>
      <c r="AY15" s="1668"/>
      <c r="AZ15" s="1668"/>
      <c r="BA15" s="1668"/>
      <c r="BB15" s="1668"/>
      <c r="BC15" s="1668"/>
      <c r="BD15" s="1668"/>
      <c r="BE15" s="1668"/>
      <c r="BF15" s="1668"/>
      <c r="BG15" s="1668"/>
      <c r="BH15" s="1668"/>
      <c r="BI15" s="1668"/>
      <c r="BJ15" s="1668"/>
      <c r="BK15" s="1668"/>
      <c r="BL15" s="1668"/>
      <c r="BM15" s="1668"/>
    </row>
    <row r="16" spans="2:65">
      <c r="B16" s="1668"/>
      <c r="C16" s="1668"/>
      <c r="D16" s="1668"/>
      <c r="E16" s="1668"/>
      <c r="F16" s="1668"/>
      <c r="G16" s="1668"/>
      <c r="H16" s="1668"/>
      <c r="I16" s="1668"/>
      <c r="J16" s="1668"/>
      <c r="K16" s="1668"/>
      <c r="L16" s="1668"/>
      <c r="M16" s="1668"/>
      <c r="N16" s="1668"/>
      <c r="O16" s="1668"/>
      <c r="P16" s="1668"/>
      <c r="Q16" s="1668"/>
      <c r="R16" s="1668"/>
      <c r="S16" s="1668"/>
      <c r="T16" s="1668"/>
      <c r="U16" s="1668"/>
      <c r="V16" s="1668"/>
      <c r="W16" s="1668"/>
      <c r="X16" s="1668"/>
      <c r="Y16" s="1668"/>
      <c r="Z16" s="1668"/>
      <c r="AA16" s="1668"/>
      <c r="AB16" s="1668"/>
      <c r="AC16" s="1668"/>
      <c r="AD16" s="1668"/>
      <c r="AE16" s="1668"/>
      <c r="AF16" s="1668"/>
      <c r="AG16" s="1668"/>
      <c r="AH16" s="1668"/>
      <c r="AI16" s="1668"/>
      <c r="AJ16" s="1668"/>
      <c r="AK16" s="1668"/>
      <c r="AL16" s="1668"/>
      <c r="AM16" s="1668"/>
      <c r="AN16" s="1668"/>
      <c r="AO16" s="1668"/>
      <c r="AP16" s="1668"/>
      <c r="AQ16" s="1668"/>
      <c r="AR16" s="1668"/>
      <c r="AS16" s="1668"/>
      <c r="AT16" s="1668"/>
      <c r="AU16" s="1668"/>
      <c r="AV16" s="1668"/>
      <c r="AW16" s="1668"/>
      <c r="AX16" s="1668"/>
      <c r="AY16" s="1668"/>
      <c r="AZ16" s="1668"/>
      <c r="BA16" s="1668"/>
      <c r="BB16" s="1668"/>
      <c r="BC16" s="1668"/>
      <c r="BD16" s="1668"/>
      <c r="BE16" s="1668"/>
      <c r="BF16" s="1668"/>
      <c r="BG16" s="1668"/>
      <c r="BH16" s="1668"/>
      <c r="BI16" s="1668"/>
      <c r="BJ16" s="1668"/>
      <c r="BK16" s="1668"/>
      <c r="BL16" s="1668"/>
      <c r="BM16" s="1668"/>
    </row>
    <row r="17" spans="2:65">
      <c r="B17" s="1668"/>
      <c r="C17" s="1668"/>
      <c r="D17" s="1668"/>
      <c r="E17" s="1668"/>
      <c r="F17" s="1668"/>
      <c r="G17" s="1668"/>
      <c r="H17" s="1668"/>
      <c r="I17" s="1668"/>
      <c r="J17" s="1668"/>
      <c r="K17" s="1668"/>
      <c r="L17" s="1668"/>
      <c r="M17" s="1668"/>
      <c r="N17" s="1668"/>
      <c r="O17" s="1668"/>
      <c r="P17" s="1668"/>
      <c r="Q17" s="1668"/>
      <c r="R17" s="1668"/>
      <c r="S17" s="1668"/>
      <c r="T17" s="1668"/>
      <c r="U17" s="1668"/>
      <c r="V17" s="1668"/>
      <c r="W17" s="1668"/>
      <c r="X17" s="1668"/>
      <c r="Y17" s="1668"/>
      <c r="Z17" s="1668"/>
      <c r="AA17" s="1668"/>
      <c r="AB17" s="1668"/>
      <c r="AC17" s="1668"/>
      <c r="AD17" s="1668"/>
      <c r="AE17" s="1668"/>
      <c r="AF17" s="1668"/>
      <c r="AG17" s="1668"/>
      <c r="AH17" s="1668"/>
      <c r="AI17" s="1668"/>
      <c r="AJ17" s="1668"/>
      <c r="AK17" s="1668"/>
      <c r="AL17" s="1668"/>
      <c r="AM17" s="1668"/>
      <c r="AN17" s="1668"/>
      <c r="AO17" s="1668"/>
      <c r="AP17" s="1668"/>
      <c r="AQ17" s="1668"/>
      <c r="AR17" s="1668"/>
      <c r="AS17" s="1668"/>
      <c r="AT17" s="1668"/>
      <c r="AU17" s="1668"/>
      <c r="AV17" s="1668"/>
      <c r="AW17" s="1668"/>
      <c r="AX17" s="1668"/>
      <c r="AY17" s="1668"/>
      <c r="AZ17" s="1668"/>
      <c r="BA17" s="1668"/>
      <c r="BB17" s="1668"/>
      <c r="BC17" s="1668"/>
      <c r="BD17" s="1668"/>
      <c r="BE17" s="1668"/>
      <c r="BF17" s="1668"/>
      <c r="BG17" s="1668"/>
      <c r="BH17" s="1668"/>
      <c r="BI17" s="1668"/>
      <c r="BJ17" s="1668"/>
      <c r="BK17" s="1668"/>
      <c r="BL17" s="1668"/>
      <c r="BM17" s="1668"/>
    </row>
    <row r="18" spans="2:65">
      <c r="B18" s="1668"/>
      <c r="C18" s="1668"/>
      <c r="D18" s="1668"/>
      <c r="E18" s="1668"/>
      <c r="F18" s="1668"/>
      <c r="G18" s="1668"/>
      <c r="H18" s="1668"/>
      <c r="I18" s="1668"/>
      <c r="J18" s="1668"/>
      <c r="K18" s="1668"/>
      <c r="L18" s="1668"/>
      <c r="M18" s="1668"/>
      <c r="N18" s="1668"/>
      <c r="O18" s="1668"/>
      <c r="P18" s="1668"/>
      <c r="Q18" s="1668"/>
      <c r="R18" s="1668"/>
      <c r="S18" s="1668"/>
      <c r="T18" s="1668"/>
      <c r="U18" s="1668"/>
      <c r="V18" s="1668"/>
      <c r="W18" s="1668"/>
      <c r="X18" s="1668"/>
      <c r="Y18" s="1668"/>
      <c r="Z18" s="1668"/>
      <c r="AA18" s="1668"/>
      <c r="AB18" s="1668"/>
      <c r="AC18" s="1668"/>
      <c r="AD18" s="1668"/>
      <c r="AE18" s="1668"/>
      <c r="AF18" s="1668"/>
      <c r="AG18" s="1668"/>
      <c r="AH18" s="1668"/>
      <c r="AI18" s="1668"/>
      <c r="AJ18" s="1668"/>
      <c r="AK18" s="1668"/>
      <c r="AL18" s="1668"/>
      <c r="AM18" s="1668"/>
      <c r="AN18" s="1668"/>
      <c r="AO18" s="1668"/>
      <c r="AP18" s="1668"/>
      <c r="AQ18" s="1668"/>
      <c r="AR18" s="1668"/>
      <c r="AS18" s="1668"/>
      <c r="AT18" s="1668"/>
      <c r="AU18" s="1668"/>
      <c r="AV18" s="1668"/>
      <c r="AW18" s="1668"/>
      <c r="AX18" s="1668"/>
      <c r="AY18" s="1668"/>
      <c r="AZ18" s="1668"/>
      <c r="BA18" s="1668"/>
      <c r="BB18" s="1668"/>
      <c r="BC18" s="1668"/>
      <c r="BD18" s="1668"/>
      <c r="BE18" s="1668"/>
      <c r="BF18" s="1668"/>
      <c r="BG18" s="1668"/>
      <c r="BH18" s="1668"/>
      <c r="BI18" s="1668"/>
      <c r="BJ18" s="1668"/>
      <c r="BK18" s="1668"/>
      <c r="BL18" s="1668"/>
      <c r="BM18" s="1668"/>
    </row>
    <row r="19" spans="2:65">
      <c r="B19" s="1668"/>
      <c r="C19" s="1668"/>
      <c r="D19" s="1668"/>
      <c r="E19" s="1668"/>
      <c r="F19" s="1668"/>
      <c r="G19" s="1668"/>
      <c r="H19" s="1668"/>
      <c r="I19" s="1668"/>
      <c r="J19" s="1668"/>
      <c r="K19" s="1668"/>
      <c r="L19" s="1668"/>
      <c r="M19" s="1668"/>
      <c r="N19" s="1668"/>
      <c r="O19" s="1668"/>
      <c r="P19" s="1668"/>
      <c r="Q19" s="1668"/>
      <c r="R19" s="1668"/>
      <c r="S19" s="1668"/>
      <c r="T19" s="1668"/>
      <c r="U19" s="1668"/>
      <c r="V19" s="1668"/>
      <c r="W19" s="1668"/>
      <c r="X19" s="1668"/>
      <c r="Y19" s="1668"/>
      <c r="Z19" s="1668"/>
      <c r="AA19" s="1668"/>
      <c r="AB19" s="1668"/>
      <c r="AC19" s="1668"/>
      <c r="AD19" s="1668"/>
      <c r="AE19" s="1668"/>
      <c r="AF19" s="1668"/>
      <c r="AG19" s="1668"/>
      <c r="AH19" s="1668"/>
      <c r="AI19" s="1668"/>
      <c r="AJ19" s="1668"/>
      <c r="AK19" s="1668"/>
      <c r="AL19" s="1668"/>
      <c r="AM19" s="1668"/>
      <c r="AN19" s="1668"/>
      <c r="AO19" s="1668"/>
      <c r="AP19" s="1668"/>
      <c r="AQ19" s="1668"/>
      <c r="AR19" s="1668"/>
      <c r="AS19" s="1668"/>
      <c r="AT19" s="1668"/>
      <c r="AU19" s="1668"/>
      <c r="AV19" s="1668"/>
      <c r="AW19" s="1668"/>
      <c r="AX19" s="1668"/>
      <c r="AY19" s="1668"/>
      <c r="AZ19" s="1668"/>
      <c r="BA19" s="1668"/>
      <c r="BB19" s="1668"/>
      <c r="BC19" s="1668"/>
      <c r="BD19" s="1668"/>
      <c r="BE19" s="1668"/>
      <c r="BF19" s="1668"/>
      <c r="BG19" s="1668"/>
      <c r="BH19" s="1668"/>
      <c r="BI19" s="1668"/>
      <c r="BJ19" s="1668"/>
      <c r="BK19" s="1668"/>
      <c r="BL19" s="1668"/>
      <c r="BM19" s="1668"/>
    </row>
    <row r="20" spans="2:65">
      <c r="B20" s="1668"/>
      <c r="C20" s="1668"/>
      <c r="D20" s="1668"/>
      <c r="E20" s="1668"/>
      <c r="F20" s="1668"/>
      <c r="G20" s="1668"/>
      <c r="H20" s="1668"/>
      <c r="I20" s="1668"/>
      <c r="J20" s="1668"/>
      <c r="K20" s="1668"/>
      <c r="L20" s="1668"/>
      <c r="M20" s="1668"/>
      <c r="N20" s="1668"/>
      <c r="O20" s="1668"/>
      <c r="P20" s="1668"/>
      <c r="Q20" s="1668"/>
      <c r="R20" s="1668"/>
      <c r="S20" s="1668"/>
      <c r="T20" s="1668"/>
      <c r="U20" s="1668"/>
      <c r="V20" s="1668"/>
      <c r="W20" s="1668"/>
      <c r="X20" s="1668"/>
      <c r="Y20" s="1668"/>
      <c r="Z20" s="1668"/>
      <c r="AA20" s="1668"/>
      <c r="AB20" s="1668"/>
      <c r="AC20" s="1668"/>
      <c r="AD20" s="1668"/>
      <c r="AE20" s="1668"/>
      <c r="AF20" s="1668"/>
      <c r="AG20" s="1668"/>
      <c r="AH20" s="1668"/>
      <c r="AI20" s="1668"/>
      <c r="AJ20" s="1668"/>
      <c r="AK20" s="1668"/>
      <c r="AL20" s="1668"/>
      <c r="AM20" s="1668"/>
      <c r="AN20" s="1668"/>
      <c r="AO20" s="1668"/>
      <c r="AP20" s="1668"/>
      <c r="AQ20" s="1668"/>
      <c r="AR20" s="1668"/>
      <c r="AS20" s="1668"/>
      <c r="AT20" s="1668"/>
      <c r="AU20" s="1668"/>
      <c r="AV20" s="1668"/>
      <c r="AW20" s="1668"/>
      <c r="AX20" s="1668"/>
      <c r="AY20" s="1668"/>
      <c r="AZ20" s="1668"/>
      <c r="BA20" s="1668"/>
      <c r="BB20" s="1668"/>
      <c r="BC20" s="1668"/>
      <c r="BD20" s="1668"/>
      <c r="BE20" s="1668"/>
      <c r="BF20" s="1668"/>
      <c r="BG20" s="1668"/>
      <c r="BH20" s="1668"/>
      <c r="BI20" s="1668"/>
      <c r="BJ20" s="1668"/>
      <c r="BK20" s="1668"/>
      <c r="BL20" s="1668"/>
      <c r="BM20" s="1668"/>
    </row>
    <row r="21" spans="2:65">
      <c r="B21" s="1668"/>
      <c r="C21" s="1668"/>
      <c r="D21" s="1668"/>
      <c r="E21" s="1668"/>
      <c r="F21" s="1668"/>
      <c r="G21" s="1668"/>
      <c r="H21" s="1668"/>
      <c r="I21" s="1668"/>
      <c r="J21" s="1668"/>
      <c r="K21" s="1668"/>
      <c r="L21" s="1668"/>
      <c r="M21" s="1668"/>
      <c r="N21" s="1668"/>
      <c r="O21" s="1668"/>
      <c r="P21" s="1668"/>
      <c r="Q21" s="1668"/>
      <c r="R21" s="1668"/>
      <c r="S21" s="1668"/>
      <c r="T21" s="1668"/>
      <c r="U21" s="1668"/>
      <c r="V21" s="1668"/>
      <c r="W21" s="1668"/>
      <c r="X21" s="1668"/>
      <c r="Y21" s="1668"/>
      <c r="Z21" s="1668"/>
      <c r="AA21" s="1668"/>
      <c r="AB21" s="1668"/>
      <c r="AC21" s="1668"/>
      <c r="AD21" s="1668"/>
      <c r="AE21" s="1668"/>
      <c r="AF21" s="1668"/>
      <c r="AG21" s="1668"/>
      <c r="AH21" s="1668"/>
      <c r="AI21" s="1668"/>
      <c r="AJ21" s="1668"/>
      <c r="AK21" s="1668"/>
      <c r="AL21" s="1668"/>
      <c r="AM21" s="1668"/>
      <c r="AN21" s="1668"/>
      <c r="AO21" s="1668"/>
      <c r="AP21" s="1668"/>
      <c r="AQ21" s="1668"/>
      <c r="AR21" s="1668"/>
      <c r="AS21" s="1668"/>
      <c r="AT21" s="1668"/>
      <c r="AU21" s="1668"/>
      <c r="AV21" s="1668"/>
      <c r="AW21" s="1668"/>
      <c r="AX21" s="1668"/>
      <c r="AY21" s="1668"/>
      <c r="AZ21" s="1668"/>
      <c r="BA21" s="1668"/>
      <c r="BB21" s="1668"/>
      <c r="BC21" s="1668"/>
      <c r="BD21" s="1668"/>
      <c r="BE21" s="1668"/>
      <c r="BF21" s="1668"/>
      <c r="BG21" s="1668"/>
      <c r="BH21" s="1668"/>
      <c r="BI21" s="1668"/>
      <c r="BJ21" s="1668"/>
      <c r="BK21" s="1668"/>
      <c r="BL21" s="1668"/>
      <c r="BM21" s="1668"/>
    </row>
    <row r="22" spans="2:65">
      <c r="B22" s="1668"/>
      <c r="C22" s="1668"/>
      <c r="D22" s="1668"/>
      <c r="E22" s="1668"/>
      <c r="F22" s="1668"/>
      <c r="G22" s="1668"/>
      <c r="H22" s="1668"/>
      <c r="I22" s="1668"/>
      <c r="J22" s="1668"/>
      <c r="K22" s="1668"/>
      <c r="L22" s="1668"/>
      <c r="M22" s="1668"/>
      <c r="N22" s="1668"/>
      <c r="O22" s="1668"/>
      <c r="P22" s="1668"/>
      <c r="Q22" s="1668"/>
      <c r="R22" s="1668"/>
      <c r="S22" s="1668"/>
      <c r="T22" s="1668"/>
      <c r="U22" s="1668"/>
      <c r="V22" s="1668"/>
      <c r="W22" s="1668"/>
      <c r="X22" s="1668"/>
      <c r="Y22" s="1668"/>
      <c r="Z22" s="1668"/>
      <c r="AA22" s="1668"/>
      <c r="AB22" s="1668"/>
      <c r="AC22" s="1668"/>
      <c r="AD22" s="1668"/>
      <c r="AE22" s="1668"/>
      <c r="AF22" s="1668"/>
      <c r="AG22" s="1668"/>
      <c r="AH22" s="1668"/>
      <c r="AI22" s="1668"/>
      <c r="AJ22" s="1668"/>
      <c r="AK22" s="1668"/>
      <c r="AL22" s="1668"/>
      <c r="AM22" s="1668"/>
      <c r="AN22" s="1668"/>
      <c r="AO22" s="1668"/>
      <c r="AP22" s="1668"/>
      <c r="AQ22" s="1668"/>
      <c r="AR22" s="1668"/>
      <c r="AS22" s="1668"/>
      <c r="AT22" s="1668"/>
      <c r="AU22" s="1668"/>
      <c r="AV22" s="1668"/>
      <c r="AW22" s="1668"/>
      <c r="AX22" s="1668"/>
      <c r="AY22" s="1668"/>
      <c r="AZ22" s="1668"/>
      <c r="BA22" s="1668"/>
      <c r="BB22" s="1668"/>
      <c r="BC22" s="1668"/>
      <c r="BD22" s="1668"/>
      <c r="BE22" s="1668"/>
      <c r="BF22" s="1668"/>
      <c r="BG22" s="1668"/>
      <c r="BH22" s="1668"/>
      <c r="BI22" s="1668"/>
      <c r="BJ22" s="1668"/>
      <c r="BK22" s="1668"/>
      <c r="BL22" s="1668"/>
      <c r="BM22" s="1668"/>
    </row>
    <row r="23" spans="2:65">
      <c r="B23" s="1668"/>
      <c r="C23" s="1668"/>
      <c r="D23" s="1668"/>
      <c r="E23" s="1668"/>
      <c r="F23" s="1668"/>
      <c r="G23" s="1668"/>
      <c r="H23" s="1668"/>
      <c r="I23" s="1668"/>
      <c r="J23" s="1668"/>
      <c r="K23" s="1668"/>
      <c r="L23" s="1668"/>
      <c r="M23" s="1668"/>
      <c r="N23" s="1668"/>
      <c r="O23" s="1668"/>
      <c r="P23" s="1668"/>
      <c r="Q23" s="1668"/>
      <c r="R23" s="1668"/>
      <c r="S23" s="1668"/>
      <c r="T23" s="1668"/>
      <c r="U23" s="1668"/>
      <c r="V23" s="1668"/>
      <c r="W23" s="1668"/>
      <c r="X23" s="1668"/>
      <c r="Y23" s="1668"/>
      <c r="Z23" s="1668"/>
      <c r="AA23" s="1668"/>
      <c r="AB23" s="1668"/>
      <c r="AC23" s="1668"/>
      <c r="AD23" s="1668"/>
      <c r="AE23" s="1668"/>
      <c r="AF23" s="1668"/>
      <c r="AG23" s="1668"/>
      <c r="AH23" s="1668"/>
      <c r="AI23" s="1668"/>
      <c r="AJ23" s="1668"/>
      <c r="AK23" s="1668"/>
      <c r="AL23" s="1668"/>
      <c r="AM23" s="1668"/>
      <c r="AN23" s="1668"/>
      <c r="AO23" s="1668"/>
      <c r="AP23" s="1668"/>
      <c r="AQ23" s="1668"/>
      <c r="AR23" s="1668"/>
      <c r="AS23" s="1668"/>
      <c r="AT23" s="1668"/>
      <c r="AU23" s="1668"/>
      <c r="AV23" s="1668"/>
      <c r="AW23" s="1668"/>
      <c r="AX23" s="1668"/>
      <c r="AY23" s="1668"/>
      <c r="AZ23" s="1668"/>
      <c r="BA23" s="1668"/>
      <c r="BB23" s="1668"/>
      <c r="BC23" s="1668"/>
      <c r="BD23" s="1668"/>
      <c r="BE23" s="1668"/>
      <c r="BF23" s="1668"/>
      <c r="BG23" s="1668"/>
      <c r="BH23" s="1668"/>
      <c r="BI23" s="1668"/>
      <c r="BJ23" s="1668"/>
      <c r="BK23" s="1668"/>
      <c r="BL23" s="1668"/>
      <c r="BM23" s="1668"/>
    </row>
    <row r="24" spans="2:65">
      <c r="B24" s="1668"/>
      <c r="C24" s="1668"/>
      <c r="D24" s="1668"/>
      <c r="E24" s="1668"/>
      <c r="F24" s="1668"/>
      <c r="G24" s="1668"/>
      <c r="H24" s="1668"/>
      <c r="I24" s="1668"/>
      <c r="J24" s="1668"/>
      <c r="K24" s="1668"/>
      <c r="L24" s="1668"/>
      <c r="M24" s="1668"/>
      <c r="N24" s="1668"/>
      <c r="O24" s="1668"/>
      <c r="P24" s="1668"/>
      <c r="Q24" s="1668"/>
      <c r="R24" s="1668"/>
      <c r="S24" s="1668"/>
      <c r="T24" s="1668"/>
      <c r="U24" s="1668"/>
      <c r="V24" s="1668"/>
      <c r="W24" s="1668"/>
      <c r="X24" s="1668"/>
      <c r="Y24" s="1668"/>
      <c r="Z24" s="1668"/>
      <c r="AA24" s="1668"/>
      <c r="AB24" s="1668"/>
      <c r="AC24" s="1668"/>
      <c r="AD24" s="1668"/>
      <c r="AE24" s="1668"/>
      <c r="AF24" s="1668"/>
      <c r="AG24" s="1668"/>
      <c r="AH24" s="1668"/>
      <c r="AI24" s="1668"/>
      <c r="AJ24" s="1668"/>
      <c r="AK24" s="1668"/>
      <c r="AL24" s="1668"/>
      <c r="AM24" s="1668"/>
      <c r="AN24" s="1668"/>
      <c r="AO24" s="1668"/>
      <c r="AP24" s="1668"/>
      <c r="AQ24" s="1668"/>
      <c r="AR24" s="1668"/>
      <c r="AS24" s="1668"/>
      <c r="AT24" s="1668"/>
      <c r="AU24" s="1668"/>
      <c r="AV24" s="1668"/>
      <c r="AW24" s="1668"/>
      <c r="AX24" s="1668"/>
      <c r="AY24" s="1668"/>
      <c r="AZ24" s="1668"/>
      <c r="BA24" s="1668"/>
      <c r="BB24" s="1668"/>
      <c r="BC24" s="1668"/>
      <c r="BD24" s="1668"/>
      <c r="BE24" s="1668"/>
      <c r="BF24" s="1668"/>
      <c r="BG24" s="1668"/>
      <c r="BH24" s="1668"/>
      <c r="BI24" s="1668"/>
      <c r="BJ24" s="1668"/>
      <c r="BK24" s="1668"/>
      <c r="BL24" s="1668"/>
      <c r="BM24" s="1668"/>
    </row>
    <row r="25" spans="2:65">
      <c r="B25" s="1668"/>
      <c r="C25" s="1668"/>
      <c r="D25" s="1668"/>
      <c r="E25" s="1668"/>
      <c r="F25" s="1668"/>
      <c r="G25" s="1668"/>
      <c r="H25" s="1668"/>
      <c r="I25" s="1668"/>
      <c r="J25" s="1668"/>
      <c r="K25" s="1668"/>
      <c r="L25" s="1668"/>
      <c r="M25" s="1668"/>
      <c r="N25" s="1668"/>
      <c r="O25" s="1668"/>
      <c r="P25" s="1668"/>
      <c r="Q25" s="1668"/>
      <c r="R25" s="1668"/>
      <c r="S25" s="1668"/>
      <c r="T25" s="1668"/>
      <c r="U25" s="1668"/>
      <c r="V25" s="1668"/>
      <c r="W25" s="1668"/>
      <c r="X25" s="1668"/>
      <c r="Y25" s="1668"/>
      <c r="Z25" s="1668"/>
      <c r="AA25" s="1668"/>
      <c r="AB25" s="1668"/>
      <c r="AC25" s="1668"/>
      <c r="AD25" s="1668"/>
      <c r="AE25" s="1668"/>
      <c r="AF25" s="1668"/>
      <c r="AG25" s="1668"/>
      <c r="AH25" s="1668"/>
      <c r="AI25" s="1668"/>
      <c r="AJ25" s="1668"/>
      <c r="AK25" s="1668"/>
      <c r="AL25" s="1668"/>
      <c r="AM25" s="1668"/>
      <c r="AN25" s="1668"/>
      <c r="AO25" s="1668"/>
      <c r="AP25" s="1668"/>
      <c r="AQ25" s="1668"/>
      <c r="AR25" s="1668"/>
      <c r="AS25" s="1668"/>
      <c r="AT25" s="1668"/>
      <c r="AU25" s="1668"/>
      <c r="AV25" s="1668"/>
      <c r="AW25" s="1668"/>
      <c r="AX25" s="1668"/>
      <c r="AY25" s="1668"/>
      <c r="AZ25" s="1668"/>
      <c r="BA25" s="1668"/>
      <c r="BB25" s="1668"/>
      <c r="BC25" s="1668"/>
      <c r="BD25" s="1668"/>
      <c r="BE25" s="1668"/>
      <c r="BF25" s="1668"/>
      <c r="BG25" s="1668"/>
      <c r="BH25" s="1668"/>
      <c r="BI25" s="1668"/>
      <c r="BJ25" s="1668"/>
      <c r="BK25" s="1668"/>
      <c r="BL25" s="1668"/>
      <c r="BM25" s="1668"/>
    </row>
    <row r="26" spans="2:65">
      <c r="B26" s="1668"/>
      <c r="C26" s="1668"/>
      <c r="D26" s="1668"/>
      <c r="E26" s="1668"/>
      <c r="F26" s="1668"/>
      <c r="G26" s="1668"/>
      <c r="H26" s="1668"/>
      <c r="I26" s="1668"/>
      <c r="J26" s="1668"/>
      <c r="K26" s="1668"/>
      <c r="L26" s="1668"/>
      <c r="M26" s="1668"/>
      <c r="N26" s="1668"/>
      <c r="O26" s="1668"/>
      <c r="P26" s="1668"/>
      <c r="Q26" s="1668"/>
      <c r="R26" s="1668"/>
      <c r="S26" s="1668"/>
      <c r="T26" s="1668"/>
      <c r="U26" s="1668"/>
      <c r="V26" s="1668"/>
      <c r="W26" s="1668"/>
      <c r="X26" s="1668"/>
      <c r="Y26" s="1668"/>
      <c r="Z26" s="1668"/>
      <c r="AA26" s="1668"/>
      <c r="AB26" s="1668"/>
      <c r="AC26" s="1668"/>
      <c r="AD26" s="1668"/>
      <c r="AE26" s="1668"/>
      <c r="AF26" s="1668"/>
      <c r="AG26" s="1668"/>
      <c r="AH26" s="1668"/>
      <c r="AI26" s="1668"/>
      <c r="AJ26" s="1668"/>
      <c r="AK26" s="1668"/>
      <c r="AL26" s="1668"/>
      <c r="AM26" s="1668"/>
      <c r="AN26" s="1668"/>
      <c r="AO26" s="1668"/>
      <c r="AP26" s="1668"/>
      <c r="AQ26" s="1668"/>
      <c r="AR26" s="1668"/>
      <c r="AS26" s="1668"/>
      <c r="AT26" s="1668"/>
      <c r="AU26" s="1668"/>
      <c r="AV26" s="1668"/>
      <c r="AW26" s="1668"/>
      <c r="AX26" s="1668"/>
      <c r="AY26" s="1668"/>
      <c r="AZ26" s="1668"/>
      <c r="BA26" s="1668"/>
      <c r="BB26" s="1668"/>
      <c r="BC26" s="1668"/>
      <c r="BD26" s="1668"/>
      <c r="BE26" s="1668"/>
      <c r="BF26" s="1668"/>
      <c r="BG26" s="1668"/>
      <c r="BH26" s="1668"/>
      <c r="BI26" s="1668"/>
      <c r="BJ26" s="1668"/>
      <c r="BK26" s="1668"/>
      <c r="BL26" s="1668"/>
      <c r="BM26" s="1668"/>
    </row>
  </sheetData>
  <mergeCells count="7">
    <mergeCell ref="E2:S2"/>
    <mergeCell ref="T2:AG2"/>
    <mergeCell ref="AH2:AV2"/>
    <mergeCell ref="AW2:BM2"/>
    <mergeCell ref="B2:B3"/>
    <mergeCell ref="C2:C3"/>
    <mergeCell ref="D2:D3"/>
  </mergeCells>
  <pageMargins left="0.7" right="0.7" top="0.75" bottom="0.75" header="0.3" footer="0.3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6">
    <tabColor rgb="FFFFFF00"/>
  </sheetPr>
  <dimension ref="B2:AG37"/>
  <sheetViews>
    <sheetView zoomScale="90" zoomScaleNormal="90" workbookViewId="0">
      <selection activeCell="I15" sqref="I15"/>
    </sheetView>
  </sheetViews>
  <sheetFormatPr defaultColWidth="9" defaultRowHeight="14.4"/>
  <cols>
    <col min="1" max="1" width="1.44444444444444" customWidth="1"/>
    <col min="2" max="2" width="21.8888888888889" customWidth="1"/>
    <col min="3" max="3" width="9" customWidth="1"/>
    <col min="4" max="4" width="19.8888888888889" customWidth="1"/>
    <col min="5" max="5" width="18" customWidth="1"/>
    <col min="6" max="6" width="1.44444444444444" customWidth="1"/>
    <col min="7" max="7" width="18.8888888888889" customWidth="1"/>
    <col min="8" max="9" width="11.2222222222222" customWidth="1"/>
    <col min="10" max="10" width="5.66666666666667" customWidth="1"/>
    <col min="11" max="11" width="18.6666666666667" customWidth="1"/>
    <col min="12" max="13" width="9.44444444444444" customWidth="1"/>
    <col min="14" max="14" width="5.22222222222222" hidden="1" customWidth="1"/>
    <col min="15" max="15" width="11.3333333333333" customWidth="1"/>
    <col min="16" max="16" width="1.44444444444444" customWidth="1"/>
    <col min="17" max="17" width="12.1111111111111" customWidth="1"/>
    <col min="19" max="19" width="16.2222222222222" customWidth="1"/>
    <col min="21" max="21" width="9.88888888888889" customWidth="1"/>
    <col min="23" max="23" width="19.6666666666667" customWidth="1"/>
    <col min="24" max="24" width="1.44444444444444" customWidth="1"/>
    <col min="25" max="25" width="10" customWidth="1"/>
    <col min="26" max="26" width="11.2222222222222" customWidth="1"/>
    <col min="28" max="28" width="8.88888888888889" customWidth="1"/>
    <col min="29" max="30" width="19.2222222222222" customWidth="1"/>
    <col min="31" max="31" width="21.4444444444444" customWidth="1"/>
  </cols>
  <sheetData>
    <row r="2" ht="15.15" spans="2:3">
      <c r="B2" s="2007" t="s">
        <v>651</v>
      </c>
      <c r="C2" s="395"/>
    </row>
    <row r="3" ht="23.25" customHeight="1" spans="2:28">
      <c r="B3" s="2008" t="s">
        <v>1027</v>
      </c>
      <c r="C3" s="2009"/>
      <c r="D3" s="2009"/>
      <c r="E3" s="2009"/>
      <c r="G3" s="2008" t="s">
        <v>1028</v>
      </c>
      <c r="H3" s="2009"/>
      <c r="I3" s="2009"/>
      <c r="K3" s="2030" t="s">
        <v>1029</v>
      </c>
      <c r="L3" s="2031"/>
      <c r="M3" s="2031"/>
      <c r="N3" s="2031"/>
      <c r="O3" s="2032"/>
      <c r="P3" s="2033"/>
      <c r="Q3" s="2008" t="s">
        <v>706</v>
      </c>
      <c r="R3" s="2059"/>
      <c r="S3" s="2059"/>
      <c r="T3" s="2059"/>
      <c r="U3" s="2059"/>
      <c r="V3" s="2059"/>
      <c r="W3" s="2059"/>
      <c r="Y3" s="2091" t="s">
        <v>1030</v>
      </c>
      <c r="Z3" s="2092"/>
      <c r="AA3" s="1823"/>
      <c r="AB3" s="2093" t="s">
        <v>1031</v>
      </c>
    </row>
    <row r="4" ht="30" customHeight="1" spans="2:32">
      <c r="B4" s="2010" t="s">
        <v>1032</v>
      </c>
      <c r="C4" s="2011"/>
      <c r="D4" s="2012" t="s">
        <v>102</v>
      </c>
      <c r="E4" s="1007" t="s">
        <v>113</v>
      </c>
      <c r="G4" s="2013" t="s">
        <v>1032</v>
      </c>
      <c r="H4" s="2011"/>
      <c r="I4" s="1968" t="s">
        <v>113</v>
      </c>
      <c r="K4" s="2034"/>
      <c r="L4" s="1007" t="s">
        <v>132</v>
      </c>
      <c r="M4" s="1007" t="s">
        <v>1033</v>
      </c>
      <c r="N4" s="1007" t="s">
        <v>1034</v>
      </c>
      <c r="O4" s="2035" t="s">
        <v>113</v>
      </c>
      <c r="P4" s="2033"/>
      <c r="Q4" s="2060"/>
      <c r="R4" s="2061" t="s">
        <v>132</v>
      </c>
      <c r="S4" s="2060"/>
      <c r="T4" s="1969" t="s">
        <v>1035</v>
      </c>
      <c r="U4" s="1969" t="s">
        <v>1036</v>
      </c>
      <c r="V4" s="1969" t="s">
        <v>706</v>
      </c>
      <c r="W4" s="1969" t="s">
        <v>1037</v>
      </c>
      <c r="Y4" s="2094" t="s">
        <v>463</v>
      </c>
      <c r="Z4" s="1829" t="s">
        <v>1038</v>
      </c>
      <c r="AA4" s="2095">
        <v>2.38</v>
      </c>
      <c r="AB4" s="2096">
        <v>1</v>
      </c>
      <c r="AC4" s="2097" t="s">
        <v>1030</v>
      </c>
      <c r="AD4" s="152"/>
      <c r="AE4" s="152"/>
      <c r="AF4" s="1972"/>
    </row>
    <row r="5" ht="28.8" spans="2:32">
      <c r="B5" s="2014" t="s">
        <v>1039</v>
      </c>
      <c r="C5" s="1827">
        <v>0.119</v>
      </c>
      <c r="D5" s="1825">
        <f t="shared" ref="D5:D17" si="0">C5</f>
        <v>0.119</v>
      </c>
      <c r="E5" s="2015"/>
      <c r="G5" s="2016" t="s">
        <v>1039</v>
      </c>
      <c r="H5" s="1825">
        <f>C5</f>
        <v>0.119</v>
      </c>
      <c r="I5" s="2015"/>
      <c r="K5" s="2036" t="s">
        <v>1040</v>
      </c>
      <c r="L5" s="1919">
        <f>C22-C19</f>
        <v>2.328</v>
      </c>
      <c r="M5" s="1825">
        <f>C23</f>
        <v>0.15</v>
      </c>
      <c r="N5" s="1825">
        <f>M5^2</f>
        <v>0.0225</v>
      </c>
      <c r="O5" s="2037"/>
      <c r="Q5" s="2062" t="s">
        <v>1041</v>
      </c>
      <c r="R5" s="1968">
        <f>C5</f>
        <v>0.119</v>
      </c>
      <c r="S5" s="2061" t="s">
        <v>1039</v>
      </c>
      <c r="T5" s="1919">
        <v>1.28</v>
      </c>
      <c r="U5" s="2063">
        <f>('Cell Tape 貼覆面積'!C4+'Cell Tape 貼覆面積'!C6+'Cell Tape 貼覆面積'!C12)*('Cell Tape 貼覆面積'!G4+'Cell Tape 貼覆面積'!G6+'Cell Tape 貼覆面積'!G12)*'Thickness &amp; Weight'!R5</f>
        <v>8202.955838</v>
      </c>
      <c r="V5" s="2064">
        <f>T5*U5/1000</f>
        <v>10.49978347264</v>
      </c>
      <c r="W5" s="2017"/>
      <c r="Y5" s="2098"/>
      <c r="Z5" s="2099" t="s">
        <v>1042</v>
      </c>
      <c r="AA5" s="2100">
        <v>2.61</v>
      </c>
      <c r="AB5" s="2101">
        <v>1.162</v>
      </c>
      <c r="AC5" s="2094" t="s">
        <v>1043</v>
      </c>
      <c r="AD5" s="2102" t="s">
        <v>1044</v>
      </c>
      <c r="AE5" s="1007" t="s">
        <v>1045</v>
      </c>
      <c r="AF5" s="2095">
        <v>1.4</v>
      </c>
    </row>
    <row r="6" ht="15" customHeight="1" spans="2:32">
      <c r="B6" s="2014" t="s">
        <v>469</v>
      </c>
      <c r="C6" s="1827">
        <v>0.3</v>
      </c>
      <c r="D6" s="1825">
        <f t="shared" si="0"/>
        <v>0.3</v>
      </c>
      <c r="E6" s="2017"/>
      <c r="G6" s="2016" t="s">
        <v>469</v>
      </c>
      <c r="H6" s="1825">
        <f>C6</f>
        <v>0.3</v>
      </c>
      <c r="I6" s="2017"/>
      <c r="K6" s="2038" t="s">
        <v>1046</v>
      </c>
      <c r="L6" s="1827">
        <v>0.1</v>
      </c>
      <c r="M6" s="1825">
        <f>L6*0.1</f>
        <v>0.01</v>
      </c>
      <c r="N6" s="1825">
        <f t="shared" ref="N6:N11" si="1">M6^2</f>
        <v>0.0001</v>
      </c>
      <c r="O6" s="2037"/>
      <c r="Q6" s="2065"/>
      <c r="R6" s="1968">
        <f>C6</f>
        <v>0.3</v>
      </c>
      <c r="S6" s="2061" t="s">
        <v>469</v>
      </c>
      <c r="T6" s="1919">
        <f>IF(W6="","",VLOOKUP(W6,Z4:AA13,2,0))</f>
        <v>2.52</v>
      </c>
      <c r="U6" s="2063">
        <f>(Outline_X_and_Y!D11+Outline_X_and_Y!D10+Outline_X_and_Y!D13)*(Outline_X_and_Y!L11+Outline_X_and_Y!L10+Outline_X_and_Y!L13)*'Thickness &amp; Weight'!R6</f>
        <v>21151.6788</v>
      </c>
      <c r="V6" s="2064">
        <f t="shared" ref="V6:V17" si="2">T6*U6/1000</f>
        <v>53.302230576</v>
      </c>
      <c r="W6" s="2066" t="s">
        <v>1047</v>
      </c>
      <c r="Y6" s="2098"/>
      <c r="Z6" s="1829" t="s">
        <v>1048</v>
      </c>
      <c r="AA6" s="2095">
        <v>2.38</v>
      </c>
      <c r="AB6" s="2096">
        <v>1</v>
      </c>
      <c r="AC6" s="2098"/>
      <c r="AD6" s="2075"/>
      <c r="AE6" s="1007" t="s">
        <v>1049</v>
      </c>
      <c r="AF6" s="2095">
        <v>1.4</v>
      </c>
    </row>
    <row r="7" ht="15" spans="2:32">
      <c r="B7" s="2014" t="s">
        <v>1050</v>
      </c>
      <c r="C7" s="1827">
        <v>0.3</v>
      </c>
      <c r="D7" s="1825">
        <f t="shared" si="0"/>
        <v>0.3</v>
      </c>
      <c r="E7" s="2017"/>
      <c r="G7" s="2016" t="s">
        <v>1050</v>
      </c>
      <c r="H7" s="1825">
        <f>C7</f>
        <v>0.3</v>
      </c>
      <c r="I7" s="2017"/>
      <c r="K7" s="2038" t="s">
        <v>1051</v>
      </c>
      <c r="L7" s="1827">
        <v>0.6</v>
      </c>
      <c r="M7" s="1827">
        <v>0.1</v>
      </c>
      <c r="N7" s="1825">
        <f t="shared" si="1"/>
        <v>0.01</v>
      </c>
      <c r="O7" s="2039" t="s">
        <v>1052</v>
      </c>
      <c r="Q7" s="2065"/>
      <c r="R7" s="1968">
        <f>C7</f>
        <v>0.3</v>
      </c>
      <c r="S7" s="2061" t="s">
        <v>1050</v>
      </c>
      <c r="T7" s="1919">
        <f>IF(W6="","",VLOOKUP(W6,Z4:AA13,2,0))</f>
        <v>2.52</v>
      </c>
      <c r="U7" s="2063">
        <f>(Outline_X_and_Y!D11+Outline_X_and_Y!D10+Outline_X_and_Y!D13)*(Outline_X_and_Y!L11+Outline_X_and_Y!L10+Outline_X_and_Y!L13+Outline_X_and_Y!L14)*R7</f>
        <v>21569.9028</v>
      </c>
      <c r="V7" s="2064">
        <f t="shared" si="2"/>
        <v>54.356155056</v>
      </c>
      <c r="W7" s="2067"/>
      <c r="Y7" s="2098"/>
      <c r="Z7" s="1829" t="s">
        <v>1053</v>
      </c>
      <c r="AA7" s="2095">
        <v>2.59</v>
      </c>
      <c r="AB7" s="2096">
        <v>1.192</v>
      </c>
      <c r="AC7" s="2103"/>
      <c r="AD7" s="1007" t="s">
        <v>1054</v>
      </c>
      <c r="AE7" s="1007"/>
      <c r="AF7" s="2095">
        <v>1.4</v>
      </c>
    </row>
    <row r="8" ht="15" spans="2:32">
      <c r="B8" s="2014" t="s">
        <v>1055</v>
      </c>
      <c r="C8" s="1827">
        <v>0.117</v>
      </c>
      <c r="D8" s="1825">
        <f t="shared" si="0"/>
        <v>0.117</v>
      </c>
      <c r="E8" s="2017"/>
      <c r="G8" s="2016" t="s">
        <v>1056</v>
      </c>
      <c r="H8" s="1827">
        <v>0.3</v>
      </c>
      <c r="I8" s="2017">
        <f>H8-I15</f>
        <v>0.214</v>
      </c>
      <c r="K8" s="2038" t="s">
        <v>1057</v>
      </c>
      <c r="L8" s="1827">
        <v>0.05</v>
      </c>
      <c r="M8" s="1938">
        <f>L8*0.1</f>
        <v>0.005</v>
      </c>
      <c r="N8" s="1825">
        <f t="shared" si="1"/>
        <v>2.5e-5</v>
      </c>
      <c r="O8" s="2040"/>
      <c r="Q8" s="2065"/>
      <c r="R8" s="1968">
        <f>C8</f>
        <v>0.117</v>
      </c>
      <c r="S8" s="2061" t="s">
        <v>1055</v>
      </c>
      <c r="T8" s="1919">
        <v>1.28</v>
      </c>
      <c r="U8" s="2063">
        <f>('Cell Tape 貼覆面積'!C4+'Cell Tape 貼覆面積'!C6+'Cell Tape 貼覆面積'!C12)*('Cell Tape 貼覆面積'!G4+'Cell Tape 貼覆面積'!G6+'Cell Tape 貼覆面積'!G12)*R8</f>
        <v>8065.091034</v>
      </c>
      <c r="V8" s="2064">
        <f t="shared" si="2"/>
        <v>10.32331652352</v>
      </c>
      <c r="W8" s="2017"/>
      <c r="Y8" s="2098"/>
      <c r="Z8" s="1829" t="s">
        <v>1058</v>
      </c>
      <c r="AA8" s="2095">
        <v>2.52</v>
      </c>
      <c r="AB8" s="2096">
        <v>1.1</v>
      </c>
      <c r="AC8" s="2104" t="s">
        <v>102</v>
      </c>
      <c r="AD8" s="1007" t="s">
        <v>1059</v>
      </c>
      <c r="AE8" s="1007" t="s">
        <v>1060</v>
      </c>
      <c r="AF8" s="2095">
        <v>0.75</v>
      </c>
    </row>
    <row r="9" ht="15" spans="2:32">
      <c r="B9" s="2014" t="s">
        <v>1061</v>
      </c>
      <c r="C9" s="1827">
        <v>0.07</v>
      </c>
      <c r="D9" s="1825">
        <f t="shared" si="0"/>
        <v>0.07</v>
      </c>
      <c r="E9" s="2017"/>
      <c r="G9" s="2016" t="s">
        <v>75</v>
      </c>
      <c r="H9" s="1825">
        <f>C17</f>
        <v>0.25</v>
      </c>
      <c r="I9" s="2017"/>
      <c r="K9" s="2038" t="s">
        <v>152</v>
      </c>
      <c r="L9" s="1827">
        <v>1</v>
      </c>
      <c r="M9" s="1827">
        <v>0.1</v>
      </c>
      <c r="N9" s="1825">
        <f t="shared" si="1"/>
        <v>0.01</v>
      </c>
      <c r="O9" s="2041"/>
      <c r="Q9" s="2065"/>
      <c r="R9" s="1968"/>
      <c r="S9" s="2061" t="s">
        <v>1062</v>
      </c>
      <c r="T9" s="1919"/>
      <c r="U9" s="1919"/>
      <c r="V9" s="1919"/>
      <c r="W9" s="2017"/>
      <c r="Y9" s="2098"/>
      <c r="Z9" s="1829" t="s">
        <v>1063</v>
      </c>
      <c r="AA9" s="2095">
        <v>2.54</v>
      </c>
      <c r="AB9" s="2096">
        <v>1.322</v>
      </c>
      <c r="AC9" s="152"/>
      <c r="AD9" s="2097" t="s">
        <v>1064</v>
      </c>
      <c r="AE9" s="1007" t="s">
        <v>1065</v>
      </c>
      <c r="AF9" s="2095">
        <v>0.9</v>
      </c>
    </row>
    <row r="10" ht="15" spans="2:32">
      <c r="B10" s="2014" t="s">
        <v>1066</v>
      </c>
      <c r="C10" s="1919">
        <f>IF(E10="",0,VLOOKUP(E10,'U-Diff.選型'!B3:C100,2,0))</f>
        <v>0.115</v>
      </c>
      <c r="D10" s="1919">
        <f t="shared" si="0"/>
        <v>0.115</v>
      </c>
      <c r="E10" s="1919" t="str">
        <f>IF(亮度與BLU功耗!E27="","",亮度與BLU功耗!E27)</f>
        <v>JS960HK</v>
      </c>
      <c r="G10" s="2016" t="s">
        <v>1067</v>
      </c>
      <c r="H10" s="1827">
        <v>0.105</v>
      </c>
      <c r="I10" s="2017"/>
      <c r="K10" s="2038" t="s">
        <v>1061</v>
      </c>
      <c r="L10" s="1827">
        <v>0</v>
      </c>
      <c r="M10" s="1825"/>
      <c r="N10" s="1825">
        <f t="shared" si="1"/>
        <v>0</v>
      </c>
      <c r="O10" s="2037"/>
      <c r="Q10" s="2065"/>
      <c r="R10" s="2068"/>
      <c r="S10" s="2061" t="s">
        <v>1068</v>
      </c>
      <c r="T10" s="2069">
        <v>3.2</v>
      </c>
      <c r="U10" s="2070">
        <v>200</v>
      </c>
      <c r="V10" s="1919"/>
      <c r="W10" s="2017"/>
      <c r="Y10" s="2098"/>
      <c r="Z10" s="1829" t="s">
        <v>1069</v>
      </c>
      <c r="AA10" s="2095">
        <v>2.59</v>
      </c>
      <c r="AB10" s="2096">
        <v>1.356</v>
      </c>
      <c r="AC10" s="2105" t="s">
        <v>1070</v>
      </c>
      <c r="AD10" s="1968" t="s">
        <v>1071</v>
      </c>
      <c r="AE10" s="1968" t="s">
        <v>1072</v>
      </c>
      <c r="AF10" s="2095">
        <v>1.3</v>
      </c>
    </row>
    <row r="11" customHeight="1" spans="2:28">
      <c r="B11" s="2014" t="s">
        <v>1073</v>
      </c>
      <c r="C11" s="1919">
        <f>IF(E11="","",VLOOKUP(E11,棱鏡片選型!C3:S83,12,FALSE))</f>
        <v>0.157</v>
      </c>
      <c r="D11" s="1919">
        <f t="shared" si="0"/>
        <v>0.157</v>
      </c>
      <c r="E11" s="2018" t="str">
        <f>IF(亮度與BLU功耗!E29="","",亮度與BLU功耗!E29)</f>
        <v>HLS505-03/HS505E</v>
      </c>
      <c r="G11" s="2019" t="s">
        <v>1074</v>
      </c>
      <c r="H11" s="1827">
        <v>0.1</v>
      </c>
      <c r="I11" s="2042">
        <f>H11+H12+H13-I12</f>
        <v>0.07</v>
      </c>
      <c r="K11" s="2038" t="s">
        <v>1075</v>
      </c>
      <c r="L11" s="1827">
        <v>0.085</v>
      </c>
      <c r="M11" s="1825">
        <f>L11*0.1</f>
        <v>0.0085</v>
      </c>
      <c r="N11" s="1825">
        <f t="shared" si="1"/>
        <v>7.225e-5</v>
      </c>
      <c r="O11" s="2037"/>
      <c r="Q11" s="2071"/>
      <c r="R11" s="2072"/>
      <c r="S11" s="2061" t="s">
        <v>1076</v>
      </c>
      <c r="T11" s="2073"/>
      <c r="U11" s="2070">
        <v>13</v>
      </c>
      <c r="V11" s="2064">
        <f>U10*U11*L7*T10/1000</f>
        <v>4.992</v>
      </c>
      <c r="W11" s="2017"/>
      <c r="Y11" s="2098"/>
      <c r="Z11" s="1829" t="s">
        <v>1077</v>
      </c>
      <c r="AA11" s="2095">
        <v>2.39</v>
      </c>
      <c r="AB11" s="2096">
        <v>1</v>
      </c>
    </row>
    <row r="12" ht="16.5" customHeight="1" spans="2:28">
      <c r="B12" s="2014" t="s">
        <v>1078</v>
      </c>
      <c r="C12" s="1919">
        <f>IF(E11="","",VLOOKUP(E11,棱鏡片選型!C3:S83,16,FALSE))</f>
        <v>0.152</v>
      </c>
      <c r="D12" s="1919">
        <f t="shared" si="0"/>
        <v>0.152</v>
      </c>
      <c r="E12" s="2020"/>
      <c r="G12" s="2016" t="s">
        <v>85</v>
      </c>
      <c r="H12" s="1919">
        <f>C14</f>
        <v>0.5</v>
      </c>
      <c r="I12" s="1919">
        <f>VLOOKUP(亮度與BLU功耗!E10,LED選型!B3:H67,7,0)</f>
        <v>0.6</v>
      </c>
      <c r="K12" s="2043"/>
      <c r="L12" s="2028"/>
      <c r="M12" s="2028"/>
      <c r="N12" s="2028"/>
      <c r="O12" s="2044"/>
      <c r="Q12" s="2062" t="s">
        <v>580</v>
      </c>
      <c r="R12" s="1968">
        <f>C10</f>
        <v>0.115</v>
      </c>
      <c r="S12" s="2061" t="s">
        <v>1066</v>
      </c>
      <c r="T12" s="1919">
        <v>1.2</v>
      </c>
      <c r="U12" s="2063">
        <f>(Outline_X_and_Y!D11+Outline_X_and_Y!D10+Outline_X_and_Y!D13-1.6)*(Outline_X_and_Y!L11+Outline_X_and_Y!L10+Outline_X_and_Y!L13-1.6)*'Thickness &amp; Weight'!R12</f>
        <v>8007.08706</v>
      </c>
      <c r="V12" s="2064">
        <f t="shared" si="2"/>
        <v>9.608504472</v>
      </c>
      <c r="W12" s="1919" t="str">
        <f>E10</f>
        <v>JS960HK</v>
      </c>
      <c r="Y12" s="2098"/>
      <c r="Z12" s="1829" t="s">
        <v>1047</v>
      </c>
      <c r="AA12" s="2095">
        <v>2.52</v>
      </c>
      <c r="AB12" s="2096">
        <v>1</v>
      </c>
    </row>
    <row r="13" ht="17.25" customHeight="1" spans="2:28">
      <c r="B13" s="2014" t="s">
        <v>1079</v>
      </c>
      <c r="C13" s="1919">
        <f>IF(E13="","",VLOOKUP(E13,'D-Diff.選型'!B2:C96,2,0))</f>
        <v>0.058</v>
      </c>
      <c r="D13" s="1919">
        <f t="shared" si="0"/>
        <v>0.058</v>
      </c>
      <c r="E13" s="1919" t="str">
        <f>IF(亮度與BLU功耗!E31="","",亮度與BLU功耗!E31)</f>
        <v>CDH743X</v>
      </c>
      <c r="G13" s="2016" t="s">
        <v>1080</v>
      </c>
      <c r="H13" s="1827">
        <v>0.07</v>
      </c>
      <c r="I13" s="2017"/>
      <c r="K13" s="2045" t="s">
        <v>1081</v>
      </c>
      <c r="L13" s="2046">
        <f>SUM(L5:L11)</f>
        <v>4.163</v>
      </c>
      <c r="M13" s="2047"/>
      <c r="N13" s="2047"/>
      <c r="O13" s="2048"/>
      <c r="Q13" s="2074"/>
      <c r="R13" s="1968">
        <f>C11</f>
        <v>0.157</v>
      </c>
      <c r="S13" s="2061" t="s">
        <v>1073</v>
      </c>
      <c r="T13" s="1919">
        <v>1.3</v>
      </c>
      <c r="U13" s="2063">
        <f>(Outline_X_and_Y!D11+Outline_X_and_Y!D10+Outline_X_and_Y!D13-1.6)*(Outline_X_and_Y!L11+Outline_X_and_Y!L10+Outline_X_and_Y!L13-1.6)*'Thickness &amp; Weight'!R13</f>
        <v>10931.414508</v>
      </c>
      <c r="V13" s="2064">
        <f t="shared" si="2"/>
        <v>14.2108388604</v>
      </c>
      <c r="W13" s="2069" t="str">
        <f>E11</f>
        <v>HLS505-03/HS505E</v>
      </c>
      <c r="Y13" s="2103"/>
      <c r="Z13" s="1829" t="s">
        <v>1082</v>
      </c>
      <c r="AA13" s="2095">
        <v>2.64</v>
      </c>
      <c r="AB13" s="2096">
        <v>1.162</v>
      </c>
    </row>
    <row r="14" ht="15" spans="2:33">
      <c r="B14" s="2014" t="s">
        <v>85</v>
      </c>
      <c r="C14" s="1919">
        <f>IF(亮度與BLU功耗!E34="","",亮度與BLU功耗!E34)</f>
        <v>0.5</v>
      </c>
      <c r="D14" s="1919">
        <f>IF(C14="","",C14)</f>
        <v>0.5</v>
      </c>
      <c r="E14" s="1919" t="str">
        <f>IF(亮度與BLU功耗!E33="","",亮度與BLU功耗!E33)</f>
        <v>V-CUT</v>
      </c>
      <c r="G14" s="2016" t="s">
        <v>1083</v>
      </c>
      <c r="H14" s="1827">
        <v>0.12</v>
      </c>
      <c r="I14" s="2017"/>
      <c r="K14" s="2045" t="s">
        <v>1084</v>
      </c>
      <c r="L14" s="2049">
        <f>SQRT(M5^2+M6^2+M7^2+M8^2+M9^2+M11^2)</f>
        <v>0.2066331289992</v>
      </c>
      <c r="M14" s="2050"/>
      <c r="N14" s="2050"/>
      <c r="O14" s="2051"/>
      <c r="Q14" s="2074"/>
      <c r="R14" s="1968">
        <f>C12</f>
        <v>0.152</v>
      </c>
      <c r="S14" s="2061" t="s">
        <v>1078</v>
      </c>
      <c r="T14" s="1919">
        <v>1.3</v>
      </c>
      <c r="U14" s="2063">
        <f>(Outline_X_and_Y!D11+Outline_X_and_Y!D10+Outline_X_and_Y!D13-1.6)*(Outline_X_and_Y!L11+Outline_X_and_Y!L10+Outline_X_and_Y!L13-1.6)*'Thickness &amp; Weight'!R14</f>
        <v>10583.280288</v>
      </c>
      <c r="V14" s="2064">
        <f t="shared" si="2"/>
        <v>13.7582643744</v>
      </c>
      <c r="W14" s="2075"/>
      <c r="Y14" s="2104" t="s">
        <v>1085</v>
      </c>
      <c r="Z14" s="1829"/>
      <c r="AA14" s="2095">
        <v>1.28</v>
      </c>
      <c r="AD14" s="1968" t="s">
        <v>22</v>
      </c>
      <c r="AE14" s="1968" t="s">
        <v>23</v>
      </c>
      <c r="AF14" s="1968" t="s">
        <v>21</v>
      </c>
      <c r="AG14" s="1968" t="s">
        <v>27</v>
      </c>
    </row>
    <row r="15" ht="16.5" customHeight="1" spans="2:33">
      <c r="B15" s="2014" t="s">
        <v>102</v>
      </c>
      <c r="C15" s="1919">
        <f>IF(E15="","",VLOOKUP(E15,Ref.選型!B2:D18,3,0))</f>
        <v>0.16</v>
      </c>
      <c r="D15" s="1919">
        <f t="shared" si="0"/>
        <v>0.16</v>
      </c>
      <c r="E15" s="1919" t="str">
        <f>IF(亮度與BLU功耗!E32="","",亮度與BLU功耗!E32)</f>
        <v>RF150UC10E</v>
      </c>
      <c r="G15" s="2016" t="s">
        <v>75</v>
      </c>
      <c r="H15" s="1825">
        <f>C17</f>
        <v>0.25</v>
      </c>
      <c r="I15" s="1825">
        <f>H22-(SUM(C5:C17)+C19)</f>
        <v>0.0860000000000003</v>
      </c>
      <c r="K15" s="2026" t="s">
        <v>1086</v>
      </c>
      <c r="L15" s="2049">
        <f>L13+L14</f>
        <v>4.3696331289992</v>
      </c>
      <c r="M15" s="2050"/>
      <c r="N15" s="2050"/>
      <c r="O15" s="2051"/>
      <c r="Q15" s="2074"/>
      <c r="R15" s="1968">
        <f>C13</f>
        <v>0.058</v>
      </c>
      <c r="S15" s="2061" t="s">
        <v>1079</v>
      </c>
      <c r="T15" s="1919">
        <v>1.2</v>
      </c>
      <c r="U15" s="2063">
        <f>(Outline_X_and_Y!D11+Outline_X_and_Y!D10+Outline_X_and_Y!D13-1.6)*(Outline_X_and_Y!L11+Outline_X_and_Y!L10+Outline_X_and_Y!L13-1.6)*'Thickness &amp; Weight'!R15</f>
        <v>4038.356952</v>
      </c>
      <c r="V15" s="2064">
        <f t="shared" si="2"/>
        <v>4.8460283424</v>
      </c>
      <c r="W15" s="1919" t="str">
        <f>E13</f>
        <v>CDH743X</v>
      </c>
      <c r="AB15" s="2106" t="s">
        <v>1087</v>
      </c>
      <c r="AD15" s="2107">
        <f>IF(C17=Outline_X_and_Y!D5,C22,C22*2)</f>
        <v>2.378</v>
      </c>
      <c r="AE15" s="2105">
        <f>IF(C17=Outline_X_and_Y!D18,C22,C22*2)</f>
        <v>4.756</v>
      </c>
      <c r="AF15" s="2105">
        <f>IF(C17=Outline_X_and_Y!L5,C22,C22*2)</f>
        <v>2.378</v>
      </c>
      <c r="AG15" s="2105">
        <f>C22</f>
        <v>2.378</v>
      </c>
    </row>
    <row r="16" ht="15.75" spans="2:28">
      <c r="B16" s="2014" t="s">
        <v>1088</v>
      </c>
      <c r="C16" s="1827">
        <v>0.03</v>
      </c>
      <c r="D16" s="1825">
        <f t="shared" si="0"/>
        <v>0.03</v>
      </c>
      <c r="E16" s="2017"/>
      <c r="G16" s="2016" t="s">
        <v>1089</v>
      </c>
      <c r="H16" s="1825">
        <f>C19</f>
        <v>0.05</v>
      </c>
      <c r="I16" s="2017"/>
      <c r="K16" s="2052" t="s">
        <v>1090</v>
      </c>
      <c r="L16" s="2053">
        <f>Summary!C15</f>
        <v>4.5</v>
      </c>
      <c r="M16" s="2054"/>
      <c r="N16" s="2054"/>
      <c r="O16" s="2055"/>
      <c r="Q16" s="2074"/>
      <c r="R16" s="1968">
        <f>C14</f>
        <v>0.5</v>
      </c>
      <c r="S16" s="2061" t="s">
        <v>85</v>
      </c>
      <c r="T16" s="1919">
        <f>VLOOKUP(W16,Z16:AA19,2,0)</f>
        <v>1.2</v>
      </c>
      <c r="U16" s="2063">
        <f>(Outline_X_and_Y!D22-Outline_X_and_Y!D5-Outline_X_and_Y!D18-3.3)*(Outline_X_and_Y!L22-Outline_X_and_Y!L5-1.65-Outline_X_and_Y!M13+亮度與BLU功耗!J36)*'Thickness &amp; Weight'!R16</f>
        <v>35198.8845</v>
      </c>
      <c r="V16" s="2064">
        <f t="shared" si="2"/>
        <v>42.2386614</v>
      </c>
      <c r="W16" s="1919" t="str">
        <f>亮度與BLU功耗!F34</f>
        <v>热压PMMA</v>
      </c>
      <c r="Y16" s="2104" t="s">
        <v>85</v>
      </c>
      <c r="Z16" s="1007" t="s">
        <v>1091</v>
      </c>
      <c r="AA16" s="2095">
        <v>1.2</v>
      </c>
      <c r="AB16" s="2095">
        <v>1</v>
      </c>
    </row>
    <row r="17" ht="15.75" spans="2:31">
      <c r="B17" s="2014" t="s">
        <v>75</v>
      </c>
      <c r="C17" s="1827">
        <v>0.25</v>
      </c>
      <c r="D17" s="1825">
        <f t="shared" si="0"/>
        <v>0.25</v>
      </c>
      <c r="E17" s="1919" t="str">
        <f>IF(W17="","",W18)</f>
        <v>DA01-H38</v>
      </c>
      <c r="Q17" s="2074"/>
      <c r="R17" s="1968">
        <f>D15</f>
        <v>0.16</v>
      </c>
      <c r="S17" s="2061" t="s">
        <v>1092</v>
      </c>
      <c r="T17" s="1919">
        <f>VLOOKUP(W17,Ref.選型!B2:I18,8,0)</f>
        <v>0.9</v>
      </c>
      <c r="U17" s="2063">
        <f>(Outline_X_and_Y!D22-Outline_X_and_Y!D5-Outline_X_and_Y!D18-3.3)*(Outline_X_and_Y!L22-Outline_X_and_Y!L5-1.65-Outline_X_and_Y!M13+亮度與BLU功耗!J36-3.5)*'Thickness &amp; Weight'!R17</f>
        <v>11069.87184</v>
      </c>
      <c r="V17" s="2064">
        <f t="shared" si="2"/>
        <v>9.962884656</v>
      </c>
      <c r="W17" s="1919" t="str">
        <f>E15</f>
        <v>RF150UC10E</v>
      </c>
      <c r="Y17" s="2104"/>
      <c r="Z17" s="1007" t="s">
        <v>1093</v>
      </c>
      <c r="AA17" s="2095">
        <v>1.18</v>
      </c>
      <c r="AB17" s="2095">
        <v>2</v>
      </c>
      <c r="AD17" s="2097" t="s">
        <v>1094</v>
      </c>
      <c r="AE17" s="2108">
        <f>C17</f>
        <v>0.25</v>
      </c>
    </row>
    <row r="18" ht="15" spans="2:31">
      <c r="B18" s="2014" t="s">
        <v>1095</v>
      </c>
      <c r="C18" s="1827">
        <v>0</v>
      </c>
      <c r="D18" s="2021">
        <f>VLOOKUP(D4,B30:C37,2,0)</f>
        <v>0.05</v>
      </c>
      <c r="E18" s="2017"/>
      <c r="K18" s="2056" t="s">
        <v>1096</v>
      </c>
      <c r="L18" s="2057"/>
      <c r="M18" s="2057"/>
      <c r="N18" s="2057"/>
      <c r="O18" s="2058"/>
      <c r="Q18" s="2074"/>
      <c r="R18" s="1968">
        <f>C17</f>
        <v>0.25</v>
      </c>
      <c r="S18" s="2061" t="s">
        <v>75</v>
      </c>
      <c r="T18" s="1919">
        <f>IF(E17="","",VLOOKUP(E17,Z21:AA29,2,0))</f>
        <v>2.64</v>
      </c>
      <c r="U18" s="2063">
        <f>(AD15+AE15+Outline_X_and_Y!D22)*(Outline_X_and_Y!L22+AF15+AG15+Outline_X_and_Y!M13-Outline_X_and_Y!L13+0.5)*R18</f>
        <v>19494.944106</v>
      </c>
      <c r="V18" s="2064">
        <f>IF(T18="","",T18*U18/1000)</f>
        <v>51.46665243984</v>
      </c>
      <c r="W18" s="1827" t="s">
        <v>1097</v>
      </c>
      <c r="Y18" s="2104"/>
      <c r="Z18" s="1007" t="s">
        <v>1098</v>
      </c>
      <c r="AA18" s="2095">
        <v>1.2</v>
      </c>
      <c r="AB18" s="2095">
        <v>1.5</v>
      </c>
      <c r="AD18" s="2097" t="s">
        <v>1099</v>
      </c>
      <c r="AE18" s="2095">
        <f>AE17*2</f>
        <v>0.5</v>
      </c>
    </row>
    <row r="19" ht="15" spans="2:28">
      <c r="B19" s="2014" t="s">
        <v>1089</v>
      </c>
      <c r="C19" s="1827">
        <v>0.05</v>
      </c>
      <c r="D19" s="2022"/>
      <c r="E19" s="2017"/>
      <c r="K19" s="2034"/>
      <c r="L19" s="1007" t="s">
        <v>132</v>
      </c>
      <c r="M19" s="1007" t="s">
        <v>1033</v>
      </c>
      <c r="N19" s="1007" t="s">
        <v>1034</v>
      </c>
      <c r="O19" s="2035" t="s">
        <v>113</v>
      </c>
      <c r="Q19" s="2074"/>
      <c r="R19" s="1968"/>
      <c r="S19" s="2061" t="s">
        <v>1100</v>
      </c>
      <c r="T19" s="1919"/>
      <c r="U19" s="2070">
        <v>50</v>
      </c>
      <c r="V19" s="2076">
        <f>-U20*U19*R18*T18/1000</f>
        <v>-1.65</v>
      </c>
      <c r="W19" s="2017"/>
      <c r="Y19" s="2104"/>
      <c r="Z19" s="1007" t="s">
        <v>1101</v>
      </c>
      <c r="AA19" s="2095">
        <v>1.18</v>
      </c>
      <c r="AB19" s="2095">
        <v>1.8</v>
      </c>
    </row>
    <row r="20" ht="28.8" spans="2:30">
      <c r="B20" s="2014" t="s">
        <v>1102</v>
      </c>
      <c r="C20" s="1827">
        <v>0.075</v>
      </c>
      <c r="D20" s="2023"/>
      <c r="E20" s="2017"/>
      <c r="K20" s="2036" t="s">
        <v>1040</v>
      </c>
      <c r="L20" s="1919">
        <f>C22-C19</f>
        <v>2.328</v>
      </c>
      <c r="M20" s="1825">
        <f>C23</f>
        <v>0.15</v>
      </c>
      <c r="N20" s="1825">
        <f>M20^2</f>
        <v>0.0225</v>
      </c>
      <c r="O20" s="2037"/>
      <c r="Q20" s="2074"/>
      <c r="R20" s="1968"/>
      <c r="S20" s="2061" t="s">
        <v>1103</v>
      </c>
      <c r="T20" s="2060"/>
      <c r="U20" s="2070">
        <v>50</v>
      </c>
      <c r="V20" s="2076"/>
      <c r="W20" s="2017"/>
      <c r="AB20" s="2109" t="s">
        <v>1087</v>
      </c>
      <c r="AC20" s="2106" t="s">
        <v>1104</v>
      </c>
      <c r="AD20" s="2106" t="s">
        <v>1105</v>
      </c>
    </row>
    <row r="21" ht="15" spans="11:30">
      <c r="K21" s="2038" t="s">
        <v>1046</v>
      </c>
      <c r="L21" s="1919">
        <f>L6</f>
        <v>0.1</v>
      </c>
      <c r="M21" s="1825">
        <f>L21*0.1</f>
        <v>0.01</v>
      </c>
      <c r="N21" s="1825">
        <f t="shared" ref="N21:N24" si="3">M21^2</f>
        <v>0.0001</v>
      </c>
      <c r="O21" s="2037"/>
      <c r="Q21" s="2074"/>
      <c r="R21" s="2060"/>
      <c r="S21" s="2061" t="s">
        <v>1106</v>
      </c>
      <c r="T21" s="2060"/>
      <c r="U21" s="2060"/>
      <c r="V21" s="2076">
        <v>3</v>
      </c>
      <c r="W21" s="2017"/>
      <c r="Y21" s="2110" t="s">
        <v>75</v>
      </c>
      <c r="Z21" s="1007" t="s">
        <v>1107</v>
      </c>
      <c r="AA21" s="2095">
        <v>7.7</v>
      </c>
      <c r="AB21" s="2095">
        <v>1</v>
      </c>
      <c r="AC21" s="2095" t="s">
        <v>7</v>
      </c>
      <c r="AD21" s="2095">
        <v>9.8</v>
      </c>
    </row>
    <row r="22" ht="15" spans="2:30">
      <c r="B22" s="1968" t="s">
        <v>1081</v>
      </c>
      <c r="C22" s="2024">
        <f>SUM(D5:D19)</f>
        <v>2.378</v>
      </c>
      <c r="D22" s="2025"/>
      <c r="G22" s="1968" t="s">
        <v>1081</v>
      </c>
      <c r="H22" s="2024">
        <f>SUM(H5:H16)</f>
        <v>2.464</v>
      </c>
      <c r="I22" s="2025"/>
      <c r="K22" s="2038" t="s">
        <v>1051</v>
      </c>
      <c r="L22" s="1919">
        <f>L7</f>
        <v>0.6</v>
      </c>
      <c r="M22" s="1919">
        <f>M7</f>
        <v>0.1</v>
      </c>
      <c r="N22" s="1825">
        <f t="shared" si="3"/>
        <v>0.01</v>
      </c>
      <c r="O22" s="2039" t="s">
        <v>1052</v>
      </c>
      <c r="Q22" s="2062" t="s">
        <v>1108</v>
      </c>
      <c r="R22" s="2060"/>
      <c r="S22" s="2061" t="s">
        <v>1109</v>
      </c>
      <c r="T22" s="2060"/>
      <c r="U22" s="2060"/>
      <c r="V22" s="2076">
        <v>1.5</v>
      </c>
      <c r="W22" s="2017"/>
      <c r="Y22" s="2110"/>
      <c r="Z22" s="1007" t="s">
        <v>1110</v>
      </c>
      <c r="AA22" s="2095">
        <v>7.75</v>
      </c>
      <c r="AB22" s="2095">
        <v>1.5</v>
      </c>
      <c r="AC22" s="2095">
        <v>8.8</v>
      </c>
      <c r="AD22" s="2095">
        <v>11.25</v>
      </c>
    </row>
    <row r="23" ht="15" spans="2:30">
      <c r="B23" s="1968" t="s">
        <v>1084</v>
      </c>
      <c r="C23" s="1827">
        <v>0.15</v>
      </c>
      <c r="D23" s="1827"/>
      <c r="G23" s="1968" t="s">
        <v>1084</v>
      </c>
      <c r="H23" s="1827">
        <v>0.15</v>
      </c>
      <c r="I23" s="1827"/>
      <c r="K23" s="2038" t="s">
        <v>1057</v>
      </c>
      <c r="L23" s="1919">
        <f>L8</f>
        <v>0.05</v>
      </c>
      <c r="M23" s="1919">
        <f>L23*0.1</f>
        <v>0.005</v>
      </c>
      <c r="N23" s="1825">
        <f t="shared" si="3"/>
        <v>2.5e-5</v>
      </c>
      <c r="O23" s="2040"/>
      <c r="Q23" s="2071"/>
      <c r="R23" s="2060"/>
      <c r="S23" s="2077" t="s">
        <v>420</v>
      </c>
      <c r="T23" s="2060"/>
      <c r="U23" s="2060"/>
      <c r="V23" s="2078">
        <v>3</v>
      </c>
      <c r="W23" s="2017" t="s">
        <v>1111</v>
      </c>
      <c r="Y23" s="2110"/>
      <c r="Z23" s="1007" t="s">
        <v>1112</v>
      </c>
      <c r="AA23" s="2095">
        <v>7.93</v>
      </c>
      <c r="AB23" s="2095">
        <v>2</v>
      </c>
      <c r="AC23" s="2095">
        <v>9.6</v>
      </c>
      <c r="AD23" s="2095">
        <v>11.25</v>
      </c>
    </row>
    <row r="24" ht="15" customHeight="1" spans="2:30">
      <c r="B24" s="2026" t="s">
        <v>1086</v>
      </c>
      <c r="C24" s="2024">
        <f>C22+C23</f>
        <v>2.528</v>
      </c>
      <c r="D24" s="2024"/>
      <c r="G24" s="1007" t="s">
        <v>1086</v>
      </c>
      <c r="H24" s="2024">
        <f>H22+H23</f>
        <v>2.614</v>
      </c>
      <c r="I24" s="2024"/>
      <c r="K24" s="2038" t="s">
        <v>1113</v>
      </c>
      <c r="L24" s="1827">
        <v>1</v>
      </c>
      <c r="M24" s="1827">
        <v>0.1</v>
      </c>
      <c r="N24" s="1825">
        <f t="shared" si="3"/>
        <v>0.01</v>
      </c>
      <c r="O24" s="2041"/>
      <c r="Y24" s="2110"/>
      <c r="Z24" s="1007" t="s">
        <v>1114</v>
      </c>
      <c r="AA24" s="2095">
        <v>2.7</v>
      </c>
      <c r="AB24" s="2095">
        <v>2.4</v>
      </c>
      <c r="AC24" s="2095" t="s">
        <v>7</v>
      </c>
      <c r="AD24" s="2095" t="s">
        <v>7</v>
      </c>
    </row>
    <row r="25" ht="15" spans="2:30">
      <c r="B25" s="2027" t="s">
        <v>1115</v>
      </c>
      <c r="C25" s="2024">
        <f>Summary!C11</f>
        <v>2.8</v>
      </c>
      <c r="D25" s="2024"/>
      <c r="G25" s="2027" t="s">
        <v>1115</v>
      </c>
      <c r="H25" s="2024">
        <f>Summary!C13</f>
        <v>2.8</v>
      </c>
      <c r="I25" s="2024"/>
      <c r="K25" s="2043"/>
      <c r="L25" s="2028"/>
      <c r="M25" s="2028"/>
      <c r="N25" s="2028"/>
      <c r="O25" s="2044"/>
      <c r="Q25" s="1007" t="s">
        <v>1116</v>
      </c>
      <c r="R25" s="152"/>
      <c r="S25" s="152"/>
      <c r="T25" s="2079">
        <f>SUM(V5:V23)</f>
        <v>285.4153201732</v>
      </c>
      <c r="U25" s="2080"/>
      <c r="V25" s="2081"/>
      <c r="W25" s="1008"/>
      <c r="Y25" s="2110"/>
      <c r="Z25" s="1007" t="s">
        <v>1117</v>
      </c>
      <c r="AA25" s="2108">
        <v>2.68</v>
      </c>
      <c r="AB25" s="2108">
        <v>4.8</v>
      </c>
      <c r="AC25" s="2095">
        <v>5</v>
      </c>
      <c r="AD25" s="2095" t="s">
        <v>7</v>
      </c>
    </row>
    <row r="26" ht="15" spans="2:30">
      <c r="B26" s="1007" t="s">
        <v>707</v>
      </c>
      <c r="C26" s="1827">
        <v>0.6</v>
      </c>
      <c r="D26" s="1827"/>
      <c r="E26" s="2028"/>
      <c r="K26" s="2045" t="s">
        <v>1081</v>
      </c>
      <c r="L26" s="2046">
        <f>SUM(L20:L24)</f>
        <v>4.078</v>
      </c>
      <c r="M26" s="2047"/>
      <c r="N26" s="2047"/>
      <c r="O26" s="2048"/>
      <c r="Q26" s="1007" t="s">
        <v>1084</v>
      </c>
      <c r="R26" s="152"/>
      <c r="S26" s="152"/>
      <c r="T26" s="2082">
        <v>10</v>
      </c>
      <c r="U26" s="2083"/>
      <c r="V26" s="2084"/>
      <c r="W26" s="1008"/>
      <c r="Y26" s="2110"/>
      <c r="Z26" s="2111" t="s">
        <v>1097</v>
      </c>
      <c r="AA26" s="2112">
        <v>2.64</v>
      </c>
      <c r="AB26" s="2113">
        <v>4.8</v>
      </c>
      <c r="AC26" s="1668"/>
      <c r="AD26" s="1668"/>
    </row>
    <row r="27" ht="15" spans="11:30">
      <c r="K27" s="2045" t="s">
        <v>1084</v>
      </c>
      <c r="L27" s="2049">
        <f>SQRT(M20^2+M21^2+M22^2+M23^2+M24^2)</f>
        <v>0.206458228220626</v>
      </c>
      <c r="M27" s="2050"/>
      <c r="N27" s="2050"/>
      <c r="O27" s="2051"/>
      <c r="Q27" s="1007" t="s">
        <v>1118</v>
      </c>
      <c r="R27" s="152"/>
      <c r="S27" s="152"/>
      <c r="T27" s="2085">
        <f>T25+T26</f>
        <v>295.4153201732</v>
      </c>
      <c r="U27" s="2086"/>
      <c r="V27" s="2087"/>
      <c r="W27" s="2088"/>
      <c r="Y27" s="2110"/>
      <c r="Z27" s="1007" t="s">
        <v>1119</v>
      </c>
      <c r="AA27" s="2114">
        <v>2.62</v>
      </c>
      <c r="AB27" s="2115">
        <f>+AB28*0.85</f>
        <v>5.355</v>
      </c>
      <c r="AC27" s="2095" t="s">
        <v>7</v>
      </c>
      <c r="AD27" s="2095" t="s">
        <v>7</v>
      </c>
    </row>
    <row r="28" ht="15" spans="11:30">
      <c r="K28" s="2026" t="s">
        <v>1086</v>
      </c>
      <c r="L28" s="2049">
        <f>L26+L27</f>
        <v>4.28445822822063</v>
      </c>
      <c r="M28" s="2050"/>
      <c r="N28" s="2050"/>
      <c r="O28" s="2051"/>
      <c r="Q28" s="1007" t="s">
        <v>1090</v>
      </c>
      <c r="R28" s="152"/>
      <c r="S28" s="152"/>
      <c r="T28" s="1938">
        <f>Summary!C28</f>
        <v>310</v>
      </c>
      <c r="U28" s="2089"/>
      <c r="V28" s="2090"/>
      <c r="W28" s="1008"/>
      <c r="Y28" s="2110"/>
      <c r="Z28" s="1007" t="s">
        <v>1120</v>
      </c>
      <c r="AA28" s="2095">
        <v>2.64</v>
      </c>
      <c r="AB28" s="2095">
        <v>6.3</v>
      </c>
      <c r="AC28" s="2095">
        <v>5.75</v>
      </c>
      <c r="AD28" s="2095">
        <v>10</v>
      </c>
    </row>
    <row r="29" ht="15" customHeight="1" spans="2:30">
      <c r="B29" s="1007" t="s">
        <v>1121</v>
      </c>
      <c r="K29" s="2052" t="s">
        <v>1090</v>
      </c>
      <c r="L29" s="2053">
        <f>Summary!C15</f>
        <v>4.5</v>
      </c>
      <c r="M29" s="2054"/>
      <c r="N29" s="2054"/>
      <c r="O29" s="2055"/>
      <c r="Y29" s="2110"/>
      <c r="Z29" s="1007" t="s">
        <v>1122</v>
      </c>
      <c r="AA29" s="2095">
        <v>2.64</v>
      </c>
      <c r="AB29" s="2095">
        <v>9</v>
      </c>
      <c r="AC29" s="2095" t="s">
        <v>7</v>
      </c>
      <c r="AD29" s="2095" t="s">
        <v>7</v>
      </c>
    </row>
    <row r="30" spans="2:19">
      <c r="B30" s="2019" t="s">
        <v>102</v>
      </c>
      <c r="C30" s="2029">
        <f>C19</f>
        <v>0.05</v>
      </c>
      <c r="Q30" s="2028"/>
      <c r="R30" s="2028"/>
      <c r="S30" s="2028"/>
    </row>
    <row r="31" spans="2:19">
      <c r="B31" s="2019" t="s">
        <v>1123</v>
      </c>
      <c r="C31" s="2029">
        <f>C19+C20</f>
        <v>0.125</v>
      </c>
      <c r="S31" s="2028"/>
    </row>
    <row r="32" spans="2:19">
      <c r="B32" s="2019" t="s">
        <v>1124</v>
      </c>
      <c r="C32" s="2029">
        <f>MAX((C19+C20),C18)</f>
        <v>0.125</v>
      </c>
      <c r="Q32" s="2028"/>
      <c r="R32" s="2028"/>
      <c r="S32" s="2028"/>
    </row>
    <row r="33" spans="2:5">
      <c r="B33" s="2019" t="s">
        <v>1125</v>
      </c>
      <c r="C33" s="2029">
        <f>MAX(C18,C19)+C20</f>
        <v>0.125</v>
      </c>
      <c r="E33" s="2028"/>
    </row>
    <row r="34" spans="2:3">
      <c r="B34" s="2019" t="s">
        <v>1126</v>
      </c>
      <c r="C34" s="2029">
        <f>MAX(C19:C20)</f>
        <v>0.075</v>
      </c>
    </row>
    <row r="35" spans="2:17">
      <c r="B35" s="2019" t="s">
        <v>1127</v>
      </c>
      <c r="C35" s="2029">
        <f>MAX(C18:C20)</f>
        <v>0.075</v>
      </c>
      <c r="Q35" s="2028"/>
    </row>
    <row r="36" spans="2:3">
      <c r="B36" s="2019" t="s">
        <v>1128</v>
      </c>
      <c r="C36" s="2029">
        <f>C18+C20</f>
        <v>0.075</v>
      </c>
    </row>
    <row r="37" spans="2:3">
      <c r="B37" s="2019" t="s">
        <v>1129</v>
      </c>
      <c r="C37" s="2029">
        <f>MAX(C20,C19)+C18</f>
        <v>0.075</v>
      </c>
    </row>
  </sheetData>
  <sheetProtection sheet="1" objects="1" scenarios="1"/>
  <protectedRanges>
    <protectedRange sqref="L24:M24 C23 L6:L11 M7 M9 D4 C5:C9 C16:C20 E5:E9 E16 E18:E20 U19:U20 U10:U11 W5:W6 W8:W11 W18:W23 V23 T26 C26" name="区域1"/>
    <protectedRange sqref="I9:I10 H23 H10:H11 I5:I7 H8:I8 H13:I14 I16" name="区域1_1"/>
  </protectedRanges>
  <mergeCells count="52">
    <mergeCell ref="B2:C2"/>
    <mergeCell ref="B3:E3"/>
    <mergeCell ref="G3:I3"/>
    <mergeCell ref="K3:O3"/>
    <mergeCell ref="Q3:W3"/>
    <mergeCell ref="Y3:AA3"/>
    <mergeCell ref="B4:C4"/>
    <mergeCell ref="G4:H4"/>
    <mergeCell ref="AC4:AF4"/>
    <mergeCell ref="L13:O13"/>
    <mergeCell ref="L14:O14"/>
    <mergeCell ref="L15:O15"/>
    <mergeCell ref="L16:O16"/>
    <mergeCell ref="K18:O18"/>
    <mergeCell ref="C22:D22"/>
    <mergeCell ref="H22:I22"/>
    <mergeCell ref="C23:D23"/>
    <mergeCell ref="H23:I23"/>
    <mergeCell ref="C24:D24"/>
    <mergeCell ref="H24:I24"/>
    <mergeCell ref="C25:D25"/>
    <mergeCell ref="H25:I25"/>
    <mergeCell ref="Q25:S25"/>
    <mergeCell ref="T25:V25"/>
    <mergeCell ref="C26:D26"/>
    <mergeCell ref="L26:O26"/>
    <mergeCell ref="Q26:S26"/>
    <mergeCell ref="T26:V26"/>
    <mergeCell ref="L27:O27"/>
    <mergeCell ref="Q27:S27"/>
    <mergeCell ref="T27:V27"/>
    <mergeCell ref="L28:O28"/>
    <mergeCell ref="Q28:S28"/>
    <mergeCell ref="T28:V28"/>
    <mergeCell ref="L29:O29"/>
    <mergeCell ref="D18:D20"/>
    <mergeCell ref="E11:E12"/>
    <mergeCell ref="O7:O9"/>
    <mergeCell ref="O22:O24"/>
    <mergeCell ref="Q5:Q11"/>
    <mergeCell ref="Q12:Q21"/>
    <mergeCell ref="Q22:Q23"/>
    <mergeCell ref="R10:R11"/>
    <mergeCell ref="T10:T11"/>
    <mergeCell ref="W6:W7"/>
    <mergeCell ref="W13:W14"/>
    <mergeCell ref="Y4:Y13"/>
    <mergeCell ref="Y16:Y19"/>
    <mergeCell ref="Y21:Y29"/>
    <mergeCell ref="AC5:AC7"/>
    <mergeCell ref="AC8:AC9"/>
    <mergeCell ref="AD5:AD6"/>
  </mergeCells>
  <conditionalFormatting sqref="H5">
    <cfRule type="expression" priority="2">
      <formula>'\\HNAS-CL01-EVS5\B3-COA-data05\EEEok\9-数字化变革\1-机光检讨工具表格\A29\[机光检讨Template_Flat_版本A29_230423.xlsx]Outline_X_Y'!#REF!=$C$17</formula>
    </cfRule>
  </conditionalFormatting>
  <conditionalFormatting sqref="T14">
    <cfRule type="expression" dxfId="4" priority="8">
      <formula>$R$14=0</formula>
    </cfRule>
    <cfRule type="expression" dxfId="4" priority="9">
      <formula>$R$14=0</formula>
    </cfRule>
  </conditionalFormatting>
  <conditionalFormatting sqref="L15:O15">
    <cfRule type="cellIs" dxfId="3" priority="4" operator="greaterThan">
      <formula>$L$16</formula>
    </cfRule>
  </conditionalFormatting>
  <conditionalFormatting sqref="L16:O16">
    <cfRule type="expression" dxfId="8" priority="16">
      <formula>$L$16&lt;#REF!</formula>
    </cfRule>
  </conditionalFormatting>
  <conditionalFormatting sqref="C24:D24">
    <cfRule type="cellIs" dxfId="3" priority="5" operator="greaterThan">
      <formula>$C$25</formula>
    </cfRule>
  </conditionalFormatting>
  <conditionalFormatting sqref="H24">
    <cfRule type="cellIs" dxfId="3" priority="1" operator="greaterThan">
      <formula>$H$25</formula>
    </cfRule>
  </conditionalFormatting>
  <conditionalFormatting sqref="L28:O28">
    <cfRule type="cellIs" dxfId="3" priority="3" operator="greaterThan">
      <formula>$L$29</formula>
    </cfRule>
  </conditionalFormatting>
  <conditionalFormatting sqref="L29:O29">
    <cfRule type="expression" dxfId="8" priority="7">
      <formula>$L$16&lt;#REF!</formula>
    </cfRule>
  </conditionalFormatting>
  <dataValidations count="7">
    <dataValidation type="list" allowBlank="1" showInputMessage="1" showErrorMessage="1" sqref="W6:W7">
      <formula1>$Z$4:$Z$13</formula1>
    </dataValidation>
    <dataValidation type="list" allowBlank="1" showInputMessage="1" showErrorMessage="1" prompt="请提前确认 Label贴附位置" sqref="D4">
      <formula1>$B$30:$B$37</formula1>
    </dataValidation>
    <dataValidation allowBlank="1" showInputMessage="1" showErrorMessage="1" prompt="DP侧无Punch，推荐值" sqref="I8"/>
    <dataValidation allowBlank="1" showInputMessage="1" showErrorMessage="1" prompt="小白反~LED Gap" sqref="I11"/>
    <dataValidation allowBlank="1" showInputMessage="1" showErrorMessage="1" prompt="LED厚度" sqref="I12"/>
    <dataValidation allowBlank="1" showInputMessage="1" showErrorMessage="1" prompt="LB侧背板Punch" sqref="I15"/>
    <dataValidation type="list" allowBlank="1" showInputMessage="1" showErrorMessage="1" sqref="W18">
      <formula1>$Z$21:$Z$29</formula1>
    </dataValidation>
  </dataValidations>
  <pageMargins left="0.7" right="0.7" top="0.75" bottom="0.75" header="0.3" footer="0.3"/>
  <pageSetup paperSize="9" orientation="portrait"/>
  <headerFooter/>
  <legacy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Sheet1">
    <tabColor rgb="FFFFFF00"/>
  </sheetPr>
  <dimension ref="B2:AG81"/>
  <sheetViews>
    <sheetView showGridLines="0" zoomScale="85" zoomScaleNormal="85" topLeftCell="A13" workbookViewId="0">
      <selection activeCell="J45" sqref="J45"/>
    </sheetView>
  </sheetViews>
  <sheetFormatPr defaultColWidth="9" defaultRowHeight="14.4"/>
  <cols>
    <col min="1" max="1" width="2.66666666666667" customWidth="1"/>
    <col min="2" max="2" width="10" customWidth="1"/>
    <col min="3" max="3" width="25" customWidth="1"/>
    <col min="4" max="4" width="7.77777777777778" customWidth="1"/>
    <col min="5" max="6" width="7.44444444444444" customWidth="1"/>
    <col min="7" max="7" width="10.3333333333333" customWidth="1"/>
    <col min="8" max="8" width="1.44444444444444" customWidth="1"/>
    <col min="9" max="9" width="5.22222222222222" customWidth="1"/>
    <col min="10" max="10" width="6.44444444444444" customWidth="1"/>
    <col min="11" max="11" width="28.4444444444444" customWidth="1"/>
    <col min="13" max="13" width="7.77777777777778" customWidth="1"/>
    <col min="14" max="15" width="7.66666666666667" customWidth="1"/>
    <col min="16" max="16" width="10.7777777777778" customWidth="1"/>
    <col min="17" max="17" width="3" customWidth="1"/>
    <col min="18" max="18" width="7.33333333333333" customWidth="1"/>
    <col min="19" max="19" width="20" customWidth="1"/>
    <col min="20" max="20" width="9" customWidth="1"/>
    <col min="21" max="21" width="12.2222222222222" customWidth="1"/>
    <col min="22" max="22" width="8.33333333333333" customWidth="1"/>
    <col min="23" max="23" width="12.7777777777778" customWidth="1"/>
    <col min="24" max="24" width="8.88888888888889" customWidth="1"/>
    <col min="25" max="25" width="12.6666666666667" customWidth="1"/>
    <col min="26" max="26" width="8.33333333333333" customWidth="1"/>
    <col min="27" max="27" width="13.7777777777778" customWidth="1"/>
    <col min="28" max="28" width="8.11111111111111" customWidth="1"/>
    <col min="29" max="29" width="22.8888888888889" customWidth="1"/>
    <col min="30" max="34" width="8.22222222222222" customWidth="1"/>
  </cols>
  <sheetData>
    <row r="2" ht="15.6" spans="2:3">
      <c r="B2" s="1914" t="s">
        <v>651</v>
      </c>
      <c r="C2" s="1669"/>
    </row>
    <row r="3" spans="2:17">
      <c r="B3" s="1830" t="s">
        <v>1130</v>
      </c>
      <c r="C3" s="1915"/>
      <c r="D3" s="1830"/>
      <c r="E3" s="1830"/>
      <c r="F3" s="1830"/>
      <c r="G3" s="1830" t="s">
        <v>113</v>
      </c>
      <c r="H3" s="1916"/>
      <c r="I3" s="1830" t="s">
        <v>1131</v>
      </c>
      <c r="J3" s="1830"/>
      <c r="K3" s="1830"/>
      <c r="L3" s="1830"/>
      <c r="M3" s="1830"/>
      <c r="N3" s="1830"/>
      <c r="O3" s="1944" t="s">
        <v>113</v>
      </c>
      <c r="P3" s="1945"/>
      <c r="Q3" s="1923"/>
    </row>
    <row r="4" ht="15" customHeight="1" spans="2:17">
      <c r="B4" s="1917" t="s">
        <v>1132</v>
      </c>
      <c r="C4" s="1918" t="s">
        <v>1133</v>
      </c>
      <c r="D4" s="1919">
        <f>'Thickness &amp; Weight'!C19</f>
        <v>0.05</v>
      </c>
      <c r="E4" s="1920">
        <v>3</v>
      </c>
      <c r="F4" s="1921">
        <f>E4+E11</f>
        <v>175.11</v>
      </c>
      <c r="G4" s="1922" t="str">
        <f>IF(SUM(D6:D7)&gt;=0,"有背板挡墙","无背板挡墙")</f>
        <v>有背板挡墙</v>
      </c>
      <c r="H4" s="1923"/>
      <c r="I4" s="1946" t="s">
        <v>1134</v>
      </c>
      <c r="J4" s="1947"/>
      <c r="K4" s="1918" t="s">
        <v>1135</v>
      </c>
      <c r="L4" s="1919">
        <f>D19</f>
        <v>0.05</v>
      </c>
      <c r="M4" s="1920">
        <v>2.95</v>
      </c>
      <c r="N4" s="1921">
        <f>M4+M11</f>
        <v>101.1</v>
      </c>
      <c r="O4" s="1948" t="str">
        <f>IF(SUM(L6:L7)&gt;=0,"有背板挡墙","无背板挡墙")</f>
        <v>无背板挡墙</v>
      </c>
      <c r="P4" s="1949"/>
      <c r="Q4" s="1923"/>
    </row>
    <row r="5" spans="2:17">
      <c r="B5" s="1924"/>
      <c r="C5" s="1918" t="s">
        <v>1136</v>
      </c>
      <c r="D5" s="1925">
        <v>0.25</v>
      </c>
      <c r="E5" s="1920"/>
      <c r="F5" s="1921"/>
      <c r="G5" s="1922" t="str">
        <f>IF(D5='Thickness &amp; Weight'!C17,"单折","双折")</f>
        <v>单折</v>
      </c>
      <c r="H5" s="1923"/>
      <c r="I5" s="1950"/>
      <c r="J5" s="1951"/>
      <c r="K5" s="1918" t="s">
        <v>232</v>
      </c>
      <c r="L5" s="1925">
        <v>0.25</v>
      </c>
      <c r="M5" s="1920"/>
      <c r="N5" s="1921"/>
      <c r="O5" s="1948" t="str">
        <f>IF(L5='Thickness &amp; Weight'!C17,"单折","双折")</f>
        <v>单折</v>
      </c>
      <c r="P5" s="1949"/>
      <c r="Q5" s="1923"/>
    </row>
    <row r="6" ht="15" customHeight="1" spans="2:17">
      <c r="B6" s="1924"/>
      <c r="C6" s="1918" t="s">
        <v>1137</v>
      </c>
      <c r="D6" s="1920">
        <v>0.05</v>
      </c>
      <c r="E6" s="1920"/>
      <c r="F6" s="1921"/>
      <c r="G6" s="1926" t="str">
        <f>IF(D6=0.05,"侧贴",IF(D6=0,"胶铁一体","底侧贴"))</f>
        <v>侧贴</v>
      </c>
      <c r="H6" s="1923"/>
      <c r="I6" s="1950"/>
      <c r="J6" s="1951"/>
      <c r="K6" s="1918" t="s">
        <v>1138</v>
      </c>
      <c r="L6" s="1919">
        <f>D6</f>
        <v>0.05</v>
      </c>
      <c r="M6" s="1920"/>
      <c r="N6" s="1921"/>
      <c r="O6" s="1952"/>
      <c r="P6" s="1953"/>
      <c r="Q6" s="1923"/>
    </row>
    <row r="7" spans="2:17">
      <c r="B7" s="1924"/>
      <c r="C7" s="1918" t="s">
        <v>1139</v>
      </c>
      <c r="D7" s="1919">
        <f>ROUND((E4-SUM(D4:D6,D8:D10)),3)</f>
        <v>0.5</v>
      </c>
      <c r="E7" s="1920"/>
      <c r="F7" s="1921"/>
      <c r="G7" s="1926"/>
      <c r="H7" s="1923"/>
      <c r="I7" s="1950"/>
      <c r="J7" s="1951"/>
      <c r="K7" s="1918" t="s">
        <v>1140</v>
      </c>
      <c r="L7" s="1919">
        <f>ROUND((M4-SUM(L4:L6,L8:L10)),3)</f>
        <v>-0.35</v>
      </c>
      <c r="M7" s="1920"/>
      <c r="N7" s="1921"/>
      <c r="O7" s="1952"/>
      <c r="P7" s="1953"/>
      <c r="Q7" s="1923"/>
    </row>
    <row r="8" ht="16.5" customHeight="1" spans="2:17">
      <c r="B8" s="1924"/>
      <c r="C8" s="1918" t="s">
        <v>1141</v>
      </c>
      <c r="D8" s="1919">
        <f>IF(亮度與BLU功耗!E37&gt;390,0.2,0.15)</f>
        <v>0.15</v>
      </c>
      <c r="E8" s="1920"/>
      <c r="F8" s="1921"/>
      <c r="G8" s="1926"/>
      <c r="H8" s="1923"/>
      <c r="I8" s="1950"/>
      <c r="J8" s="1951"/>
      <c r="K8" s="1918" t="s">
        <v>1142</v>
      </c>
      <c r="L8" s="1919">
        <f>D8</f>
        <v>0.15</v>
      </c>
      <c r="M8" s="1920"/>
      <c r="N8" s="1921"/>
      <c r="O8" s="1952"/>
      <c r="P8" s="1953"/>
      <c r="Q8" s="1923"/>
    </row>
    <row r="9" ht="15" customHeight="1" spans="2:17">
      <c r="B9" s="1924"/>
      <c r="C9" s="1918" t="s">
        <v>1143</v>
      </c>
      <c r="D9" s="1920">
        <v>0</v>
      </c>
      <c r="E9" s="1920"/>
      <c r="F9" s="1921"/>
      <c r="G9" s="1926"/>
      <c r="H9" s="1923"/>
      <c r="I9" s="1950"/>
      <c r="J9" s="1951"/>
      <c r="K9" s="1918" t="s">
        <v>1144</v>
      </c>
      <c r="L9" s="1920">
        <v>0</v>
      </c>
      <c r="M9" s="1920"/>
      <c r="N9" s="1921"/>
      <c r="O9" s="1952"/>
      <c r="P9" s="1953"/>
      <c r="Q9" s="1923"/>
    </row>
    <row r="10" spans="2:17">
      <c r="B10" s="1924"/>
      <c r="C10" s="1918" t="s">
        <v>1145</v>
      </c>
      <c r="D10" s="1920">
        <v>2</v>
      </c>
      <c r="E10" s="1920"/>
      <c r="F10" s="1921"/>
      <c r="G10" s="1926"/>
      <c r="H10" s="1923"/>
      <c r="I10" s="1950"/>
      <c r="J10" s="1951"/>
      <c r="K10" s="1918" t="s">
        <v>1146</v>
      </c>
      <c r="L10" s="1920">
        <v>2.8</v>
      </c>
      <c r="M10" s="1920"/>
      <c r="N10" s="1921"/>
      <c r="O10" s="1952"/>
      <c r="P10" s="1953"/>
      <c r="Q10" s="1923"/>
    </row>
    <row r="11" ht="15" customHeight="1" spans="2:17">
      <c r="B11" s="1924"/>
      <c r="C11" s="1918" t="s">
        <v>123</v>
      </c>
      <c r="D11" s="1919">
        <f>亮度與BLU功耗!E37</f>
        <v>344.22</v>
      </c>
      <c r="E11" s="1919">
        <f>D11/2</f>
        <v>172.11</v>
      </c>
      <c r="F11" s="1921"/>
      <c r="G11" s="1926"/>
      <c r="H11" s="1923"/>
      <c r="I11" s="1954"/>
      <c r="J11" s="1955"/>
      <c r="K11" s="1918" t="s">
        <v>125</v>
      </c>
      <c r="L11" s="1919">
        <f>亮度與BLU功耗!E38</f>
        <v>196.3</v>
      </c>
      <c r="M11" s="1919">
        <f>L11/2</f>
        <v>98.15</v>
      </c>
      <c r="N11" s="1921"/>
      <c r="O11" s="1952"/>
      <c r="P11" s="1953"/>
      <c r="Q11" s="1923"/>
    </row>
    <row r="12" ht="15" customHeight="1" spans="2:21">
      <c r="B12" s="1927" t="s">
        <v>1147</v>
      </c>
      <c r="C12" s="1918"/>
      <c r="D12" s="1919"/>
      <c r="E12" s="1919">
        <f>D11/2</f>
        <v>172.11</v>
      </c>
      <c r="F12" s="1921">
        <f>E12+E13</f>
        <v>174.96</v>
      </c>
      <c r="G12" s="1926"/>
      <c r="H12" s="1923"/>
      <c r="I12" s="1927" t="s">
        <v>1148</v>
      </c>
      <c r="J12" s="1927"/>
      <c r="K12" s="1956"/>
      <c r="L12" s="1919"/>
      <c r="M12" s="1919">
        <f>L11/2</f>
        <v>98.15</v>
      </c>
      <c r="N12" s="1957">
        <f>M12+M13</f>
        <v>106.65</v>
      </c>
      <c r="O12" s="1958"/>
      <c r="P12" s="1959"/>
      <c r="Q12" s="1923"/>
      <c r="S12" s="1976" t="s">
        <v>1149</v>
      </c>
      <c r="T12" s="1977"/>
      <c r="U12" s="1968" t="s">
        <v>113</v>
      </c>
    </row>
    <row r="13" ht="15" customHeight="1" spans="2:21">
      <c r="B13" s="1928"/>
      <c r="C13" s="1918" t="s">
        <v>1150</v>
      </c>
      <c r="D13" s="1920">
        <v>2.3</v>
      </c>
      <c r="E13" s="1920">
        <v>2.85</v>
      </c>
      <c r="F13" s="1921"/>
      <c r="G13" s="1926"/>
      <c r="H13" s="1923"/>
      <c r="I13" s="1927"/>
      <c r="J13" s="1927"/>
      <c r="K13" s="1956" t="s">
        <v>1151</v>
      </c>
      <c r="L13" s="1920">
        <v>3.2</v>
      </c>
      <c r="M13" s="1960">
        <v>8.5</v>
      </c>
      <c r="N13" s="1961"/>
      <c r="O13" s="1958"/>
      <c r="P13" s="1959"/>
      <c r="Q13" s="1923"/>
      <c r="S13" s="1956" t="s">
        <v>1151</v>
      </c>
      <c r="T13" s="1919">
        <f>L13</f>
        <v>3.2</v>
      </c>
      <c r="U13" s="1978"/>
    </row>
    <row r="14" spans="2:21">
      <c r="B14" s="1928"/>
      <c r="C14" s="1918" t="s">
        <v>1152</v>
      </c>
      <c r="D14" s="1920">
        <v>0</v>
      </c>
      <c r="E14" s="1920"/>
      <c r="F14" s="1921"/>
      <c r="G14" s="1926"/>
      <c r="H14" s="1923"/>
      <c r="I14" s="1927"/>
      <c r="J14" s="1927"/>
      <c r="K14" s="1956" t="s">
        <v>1153</v>
      </c>
      <c r="L14" s="1920">
        <v>4</v>
      </c>
      <c r="M14" s="1962"/>
      <c r="N14" s="1961"/>
      <c r="O14" s="1958"/>
      <c r="P14" s="1959"/>
      <c r="Q14" s="1923"/>
      <c r="S14" s="1918" t="s">
        <v>1153</v>
      </c>
      <c r="T14" s="1919">
        <f>L14</f>
        <v>4</v>
      </c>
      <c r="U14" s="1978"/>
    </row>
    <row r="15" ht="15" customHeight="1" spans="2:21">
      <c r="B15" s="1928"/>
      <c r="C15" s="1918" t="s">
        <v>1154</v>
      </c>
      <c r="D15" s="1919">
        <f>D8</f>
        <v>0.15</v>
      </c>
      <c r="E15" s="1920"/>
      <c r="F15" s="1921"/>
      <c r="G15" s="1926"/>
      <c r="H15" s="1923"/>
      <c r="I15" s="1927"/>
      <c r="J15" s="1927"/>
      <c r="K15" s="1963" t="s">
        <v>1155</v>
      </c>
      <c r="L15" s="1919">
        <f>D8</f>
        <v>0.15</v>
      </c>
      <c r="M15" s="1962"/>
      <c r="N15" s="1961"/>
      <c r="O15" s="1958"/>
      <c r="P15" s="1959"/>
      <c r="Q15" s="1923"/>
      <c r="S15" s="1979" t="s">
        <v>1156</v>
      </c>
      <c r="T15" s="1919">
        <f>L15+L16+L17-亮度與BLU功耗!J28</f>
        <v>0.5</v>
      </c>
      <c r="U15" s="1980" t="s">
        <v>1157</v>
      </c>
    </row>
    <row r="16" ht="14.25" customHeight="1" spans="2:21">
      <c r="B16" s="1928"/>
      <c r="C16" s="1918" t="s">
        <v>1158</v>
      </c>
      <c r="D16" s="1919">
        <f>ROUND((E13-SUM(D13:D15,D17:D19)),3)</f>
        <v>-0.2</v>
      </c>
      <c r="E16" s="1920"/>
      <c r="F16" s="1921"/>
      <c r="G16" s="1926"/>
      <c r="H16" s="1923"/>
      <c r="I16" s="1927"/>
      <c r="J16" s="1927"/>
      <c r="K16" s="1963" t="s">
        <v>1159</v>
      </c>
      <c r="L16" s="1919">
        <f>ROUND((M13-SUM(L13:L15,L17:L18)),3)</f>
        <v>0.85</v>
      </c>
      <c r="M16" s="1962"/>
      <c r="N16" s="1961"/>
      <c r="O16" s="1958"/>
      <c r="P16" s="1959"/>
      <c r="Q16" s="1981"/>
      <c r="S16" s="1979" t="s">
        <v>1160</v>
      </c>
      <c r="T16" s="1920">
        <v>0.6</v>
      </c>
      <c r="U16" s="1978"/>
    </row>
    <row r="17" spans="2:21">
      <c r="B17" s="1928"/>
      <c r="C17" s="1918" t="s">
        <v>1161</v>
      </c>
      <c r="D17" s="1919">
        <f>D6</f>
        <v>0.05</v>
      </c>
      <c r="E17" s="1920"/>
      <c r="F17" s="1921"/>
      <c r="G17" s="1926"/>
      <c r="H17" s="1923"/>
      <c r="I17" s="1927"/>
      <c r="J17" s="1927"/>
      <c r="K17" s="1963" t="s">
        <v>1162</v>
      </c>
      <c r="L17" s="1919">
        <f>'Thickness &amp; Weight'!C17</f>
        <v>0.25</v>
      </c>
      <c r="M17" s="1962"/>
      <c r="N17" s="1961"/>
      <c r="O17" s="1958"/>
      <c r="P17" s="1959"/>
      <c r="Q17" s="1923"/>
      <c r="S17" s="1979" t="s">
        <v>1163</v>
      </c>
      <c r="T17" s="1920">
        <v>0.025</v>
      </c>
      <c r="U17" s="1978"/>
    </row>
    <row r="18" spans="2:21">
      <c r="B18" s="1928"/>
      <c r="C18" s="1918" t="s">
        <v>203</v>
      </c>
      <c r="D18" s="1925">
        <v>0.5</v>
      </c>
      <c r="E18" s="1920"/>
      <c r="F18" s="1921"/>
      <c r="G18" s="1922" t="str">
        <f>IF(D18='Thickness &amp; Weight'!C17,"单折","双折")</f>
        <v>双折</v>
      </c>
      <c r="H18" s="1923"/>
      <c r="I18" s="1927"/>
      <c r="J18" s="1927"/>
      <c r="K18" s="1964" t="s">
        <v>1164</v>
      </c>
      <c r="L18" s="1919">
        <f>D4</f>
        <v>0.05</v>
      </c>
      <c r="M18" s="1962"/>
      <c r="N18" s="1961"/>
      <c r="O18" s="1948" t="str">
        <f>IF(L16&gt;=0.15,"有背板挡墙",IF(L16&gt;=0,"有背板挡墙，需考虑ITO走线避让","无背板挡墙"))</f>
        <v>有背板挡墙</v>
      </c>
      <c r="P18" s="1949"/>
      <c r="Q18" s="1923"/>
      <c r="S18" s="1982" t="s">
        <v>1164</v>
      </c>
      <c r="T18" s="1919">
        <f>L18</f>
        <v>0.05</v>
      </c>
      <c r="U18" s="1978"/>
    </row>
    <row r="19" spans="2:33">
      <c r="B19" s="1928"/>
      <c r="C19" s="1918" t="s">
        <v>1165</v>
      </c>
      <c r="D19" s="1919">
        <f>D4</f>
        <v>0.05</v>
      </c>
      <c r="E19" s="1920"/>
      <c r="F19" s="1921"/>
      <c r="G19" s="1922" t="str">
        <f>IF(SUM(D16:D17)&gt;=0,"有背板挡墙","无背板挡墙")</f>
        <v>无背板挡墙</v>
      </c>
      <c r="H19" s="1923"/>
      <c r="I19" s="1927"/>
      <c r="J19" s="1927"/>
      <c r="K19" s="1965"/>
      <c r="L19" s="1919"/>
      <c r="M19" s="1966"/>
      <c r="N19" s="1967"/>
      <c r="O19" s="1958"/>
      <c r="P19" s="1959"/>
      <c r="Q19" s="1923"/>
      <c r="R19" s="1923"/>
      <c r="S19" s="1983" t="str">
        <f>IF(亮度與BLU功耗!E4="Bent胶框外凸","","DP(Down Side)(W/ FPC)")</f>
        <v/>
      </c>
      <c r="T19" s="1984" t="str">
        <f>IF(亮度與BLU功耗!E4="Bent胶框外凸","",SUM(T13:T18))</f>
        <v/>
      </c>
      <c r="U19" s="1978"/>
      <c r="V19" s="1923"/>
      <c r="W19" s="1923"/>
      <c r="X19" s="1923"/>
      <c r="Y19" s="1923"/>
      <c r="Z19" s="1923"/>
      <c r="AA19" s="1923"/>
      <c r="AB19" s="1923"/>
      <c r="AC19" s="1923"/>
      <c r="AD19" s="1923"/>
      <c r="AE19" s="1923"/>
      <c r="AF19" s="1923"/>
      <c r="AG19" s="1923"/>
    </row>
    <row r="21" spans="4:16">
      <c r="D21" s="1007" t="s">
        <v>326</v>
      </c>
      <c r="E21" s="1007"/>
      <c r="F21" s="1007"/>
      <c r="L21" s="1968" t="s">
        <v>1166</v>
      </c>
      <c r="M21" s="1968"/>
      <c r="N21" s="1968"/>
      <c r="O21" s="1969" t="str">
        <f>IF(亮度與BLU功耗!E4="Bent胶框外凸","","Outline _Y(W/ FPC)")</f>
        <v/>
      </c>
      <c r="P21" s="1969"/>
    </row>
    <row r="22" spans="4:16">
      <c r="D22" s="1929">
        <f>F4+F12</f>
        <v>350.07</v>
      </c>
      <c r="E22" s="1929"/>
      <c r="F22" s="1929"/>
      <c r="L22" s="1929">
        <f>N4+N12</f>
        <v>207.75</v>
      </c>
      <c r="M22" s="1929"/>
      <c r="N22" s="1929"/>
      <c r="O22" s="1970" t="str">
        <f>IF(亮度與BLU功耗!E4="Bent胶框外凸","",T19+M12+N4)</f>
        <v/>
      </c>
      <c r="P22" s="1970"/>
    </row>
    <row r="23" spans="3:16">
      <c r="C23" s="1007" t="s">
        <v>1084</v>
      </c>
      <c r="D23" s="1007">
        <v>0.3</v>
      </c>
      <c r="E23" s="1007"/>
      <c r="F23" s="1007"/>
      <c r="G23" s="1930"/>
      <c r="K23" s="1007" t="s">
        <v>1084</v>
      </c>
      <c r="L23" s="1818">
        <f>IF(亮度與BLU功耗!E4="Bent内推",0.3,0.5)</f>
        <v>0.5</v>
      </c>
      <c r="M23" s="1818"/>
      <c r="N23" s="1818"/>
      <c r="O23" s="1818" t="str">
        <f>IF(亮度與BLU功耗!E4="Bent胶框外凸","","0.5")</f>
        <v/>
      </c>
      <c r="P23" s="1818"/>
    </row>
    <row r="24" spans="3:16">
      <c r="C24" s="1822" t="s">
        <v>31</v>
      </c>
      <c r="D24" s="1929">
        <f>D22+D23</f>
        <v>350.37</v>
      </c>
      <c r="E24" s="1929"/>
      <c r="F24" s="1929"/>
      <c r="K24" s="1822" t="s">
        <v>31</v>
      </c>
      <c r="L24" s="1929">
        <f>L22+L23</f>
        <v>208.25</v>
      </c>
      <c r="M24" s="1929"/>
      <c r="N24" s="1929"/>
      <c r="O24" s="1970" t="str">
        <f>IF(亮度與BLU功耗!E4="Bent胶框外凸","",O22+O23)</f>
        <v/>
      </c>
      <c r="P24" s="1970"/>
    </row>
    <row r="25" spans="3:16">
      <c r="C25" s="1822" t="s">
        <v>1167</v>
      </c>
      <c r="D25" s="1929">
        <f>D22-D23</f>
        <v>349.77</v>
      </c>
      <c r="E25" s="1929"/>
      <c r="F25" s="1929"/>
      <c r="K25" s="1822" t="s">
        <v>1167</v>
      </c>
      <c r="L25" s="1929">
        <f>L22-L23</f>
        <v>207.25</v>
      </c>
      <c r="M25" s="1929"/>
      <c r="N25" s="1929"/>
      <c r="O25" s="1970" t="str">
        <f>IF(亮度與BLU功耗!E4="Bent胶框外凸","",O22-O23)</f>
        <v/>
      </c>
      <c r="P25" s="1970"/>
    </row>
    <row r="26" s="527" customFormat="1" spans="2:16">
      <c r="B26" s="1931"/>
      <c r="C26" s="1932"/>
      <c r="D26" s="1933"/>
      <c r="E26" s="1933"/>
      <c r="F26" s="1933"/>
      <c r="G26"/>
      <c r="I26" s="1931"/>
      <c r="J26" s="1931"/>
      <c r="K26" s="1932"/>
      <c r="L26" s="1933"/>
      <c r="M26" s="1933"/>
      <c r="N26" s="1933"/>
      <c r="O26" s="1933"/>
      <c r="P26" s="1933"/>
    </row>
    <row r="27" s="527" customFormat="1" spans="2:16">
      <c r="B27" s="1931"/>
      <c r="C27" s="1932"/>
      <c r="D27" s="1933"/>
      <c r="E27" s="1933"/>
      <c r="F27" s="1933"/>
      <c r="G27"/>
      <c r="I27" s="1931"/>
      <c r="J27" s="1931"/>
      <c r="K27" s="1932"/>
      <c r="L27" s="1933"/>
      <c r="M27" s="1933"/>
      <c r="N27" s="1933"/>
      <c r="O27" s="1933"/>
      <c r="P27" s="1933"/>
    </row>
    <row r="28" s="1816" customFormat="1"/>
    <row r="29" s="1816" customFormat="1"/>
    <row r="30" s="1816" customFormat="1"/>
    <row r="31" s="1816" customFormat="1" ht="16.65" customHeight="1" spans="7:7">
      <c r="G31" s="1817">
        <v>0.05</v>
      </c>
    </row>
    <row r="32" s="1816" customFormat="1" ht="16.65" customHeight="1" spans="7:15">
      <c r="G32" s="1817">
        <v>0.5</v>
      </c>
      <c r="O32" s="1817">
        <v>0.5</v>
      </c>
    </row>
    <row r="33" s="1816" customFormat="1" ht="16.65" customHeight="1" spans="7:15">
      <c r="G33" s="1817">
        <v>1.2</v>
      </c>
      <c r="O33" s="1817">
        <v>1.3</v>
      </c>
    </row>
    <row r="34" s="1816" customFormat="1" ht="16.65" customHeight="1" spans="7:15">
      <c r="G34" s="1934">
        <f>L76</f>
        <v>0.757476133685732</v>
      </c>
      <c r="O34" s="1934">
        <f>L76</f>
        <v>0.757476133685732</v>
      </c>
    </row>
    <row r="35" s="1816" customFormat="1" ht="16.65" customHeight="1"/>
    <row r="36" s="1816" customFormat="1" ht="16.65" customHeight="1"/>
    <row r="37" s="1816" customFormat="1" ht="16.65" customHeight="1" spans="7:15">
      <c r="G37" s="1817">
        <v>1</v>
      </c>
      <c r="O37" s="1817">
        <v>0.7</v>
      </c>
    </row>
    <row r="38" s="1816" customFormat="1" ht="16.65" customHeight="1" spans="7:15">
      <c r="G38" s="1817">
        <v>0.3</v>
      </c>
      <c r="O38" s="1817">
        <v>0.25</v>
      </c>
    </row>
    <row r="39" s="1816" customFormat="1" ht="16.65" customHeight="1" spans="7:24">
      <c r="G39" s="1935">
        <f>D70</f>
        <v>0.75</v>
      </c>
      <c r="O39" s="1817">
        <v>0.65</v>
      </c>
      <c r="R39" s="1819">
        <v>1.2</v>
      </c>
      <c r="X39" s="1817">
        <v>60</v>
      </c>
    </row>
    <row r="40" s="1816" customFormat="1" ht="16.65" customHeight="1" spans="7:18">
      <c r="G40" s="1817">
        <v>0.5</v>
      </c>
      <c r="O40" s="1817">
        <v>0.55</v>
      </c>
      <c r="R40" s="1819">
        <v>5</v>
      </c>
    </row>
    <row r="41" s="1816" customFormat="1" ht="16.65" customHeight="1" spans="18:24">
      <c r="R41" s="1819">
        <v>20</v>
      </c>
      <c r="X41" s="1817">
        <v>80</v>
      </c>
    </row>
    <row r="42" s="1816" customFormat="1"/>
    <row r="43" s="1816" customFormat="1"/>
    <row r="44" s="1816" customFormat="1"/>
    <row r="45" s="1816" customFormat="1" spans="10:10">
      <c r="J45" s="1832">
        <f>'Thickness &amp; Weight'!H11</f>
        <v>0.1</v>
      </c>
    </row>
    <row r="46" s="1816" customFormat="1" ht="16.65" customHeight="1" spans="7:10">
      <c r="G46" s="1817">
        <v>0.5</v>
      </c>
      <c r="J46" s="1832">
        <f>'Thickness &amp; Weight'!H10</f>
        <v>0.105</v>
      </c>
    </row>
    <row r="47" s="1816" customFormat="1" ht="16.65" customHeight="1" spans="7:10">
      <c r="G47" s="1817">
        <v>1.2</v>
      </c>
      <c r="J47" s="1832">
        <f>'Thickness &amp; Weight'!H14</f>
        <v>0.12</v>
      </c>
    </row>
    <row r="48" s="1816" customFormat="1" ht="16.65" customHeight="1" spans="7:7">
      <c r="G48" s="1934">
        <f>L76</f>
        <v>0.757476133685732</v>
      </c>
    </row>
    <row r="49" s="1816" customFormat="1" ht="16.65" customHeight="1" spans="18:19">
      <c r="R49" s="1817">
        <v>0.5</v>
      </c>
      <c r="S49" s="1985"/>
    </row>
    <row r="50" s="1816" customFormat="1" ht="16.65" customHeight="1" spans="18:18">
      <c r="R50" s="1817">
        <v>1.2</v>
      </c>
    </row>
    <row r="51" s="1816" customFormat="1" ht="16.65" customHeight="1" spans="7:18">
      <c r="G51" s="1817">
        <v>1.3</v>
      </c>
      <c r="R51" s="1817">
        <v>1</v>
      </c>
    </row>
    <row r="52" s="1816" customFormat="1" ht="16.65" customHeight="1" spans="7:18">
      <c r="G52" s="1817">
        <v>0.2</v>
      </c>
      <c r="R52" s="1986"/>
    </row>
    <row r="53" s="1816" customFormat="1" ht="16.65" customHeight="1" spans="7:18">
      <c r="G53" s="1935">
        <f>D70</f>
        <v>0.75</v>
      </c>
      <c r="R53" s="1986"/>
    </row>
    <row r="54" s="1816" customFormat="1" ht="16.65" customHeight="1" spans="7:18">
      <c r="G54" s="1817">
        <v>0.6</v>
      </c>
      <c r="R54" s="1817">
        <v>0.6</v>
      </c>
    </row>
    <row r="55" s="1816" customFormat="1" spans="13:18">
      <c r="M55" s="1971"/>
      <c r="R55" s="1817">
        <v>0.25</v>
      </c>
    </row>
    <row r="56" s="1816" customFormat="1" spans="20:22">
      <c r="T56" s="1987" t="s">
        <v>1168</v>
      </c>
      <c r="U56" s="1818">
        <v>2</v>
      </c>
      <c r="V56" s="1816" t="s">
        <v>1169</v>
      </c>
    </row>
    <row r="57" s="1816" customFormat="1"/>
    <row r="58" s="1816" customFormat="1" spans="3:4">
      <c r="C58" s="1936" t="s">
        <v>1170</v>
      </c>
      <c r="D58" s="786"/>
    </row>
    <row r="59" s="1816" customFormat="1" spans="3:18">
      <c r="C59" s="1937" t="s">
        <v>1171</v>
      </c>
      <c r="D59" s="1938">
        <f>亮度與BLU功耗!E37+2</f>
        <v>346.22</v>
      </c>
      <c r="K59" s="1816" t="s">
        <v>1172</v>
      </c>
      <c r="R59" s="1988"/>
    </row>
    <row r="60" s="1816" customFormat="1" spans="3:12">
      <c r="C60" s="1937" t="s">
        <v>1173</v>
      </c>
      <c r="D60" s="1939">
        <v>6e-5</v>
      </c>
      <c r="K60" s="1972" t="s">
        <v>1174</v>
      </c>
      <c r="L60" s="1973">
        <v>45</v>
      </c>
    </row>
    <row r="61" s="1816" customFormat="1" spans="3:12">
      <c r="C61" s="1940" t="s">
        <v>1175</v>
      </c>
      <c r="D61" s="1939">
        <v>6.02e-5</v>
      </c>
      <c r="K61" s="1974" t="s">
        <v>1176</v>
      </c>
      <c r="L61" s="1975">
        <f>RADIANS(DEGREES(ASIN(SIN(L60*PI()/180)/L70)))</f>
        <v>0.483862601029561</v>
      </c>
    </row>
    <row r="62" s="1816" customFormat="1" spans="3:23">
      <c r="C62" s="1937" t="s">
        <v>1177</v>
      </c>
      <c r="D62" s="1941">
        <v>0.003</v>
      </c>
      <c r="K62" s="1974" t="s">
        <v>1178</v>
      </c>
      <c r="L62" s="1975">
        <f>RADIANS(DEGREES(ASIN(SIN(L60*PI()/180)/L71)))</f>
        <v>0.442886844959949</v>
      </c>
      <c r="U62" s="1816" t="s">
        <v>1179</v>
      </c>
      <c r="V62" s="1989" t="s">
        <v>1180</v>
      </c>
      <c r="W62" s="1989" t="s">
        <v>1181</v>
      </c>
    </row>
    <row r="63" s="1816" customFormat="1" ht="15" customHeight="1" spans="3:23">
      <c r="C63" s="1942" t="s">
        <v>1182</v>
      </c>
      <c r="D63" s="1941">
        <v>60</v>
      </c>
      <c r="K63" s="1974" t="s">
        <v>1183</v>
      </c>
      <c r="L63" s="1975">
        <f>'Thickness &amp; Weight'!C5</f>
        <v>0.119</v>
      </c>
      <c r="U63" s="1990" t="s">
        <v>906</v>
      </c>
      <c r="V63" s="1991">
        <v>2.5</v>
      </c>
      <c r="W63" s="1991">
        <v>3</v>
      </c>
    </row>
    <row r="64" s="1816" customFormat="1" spans="3:23">
      <c r="C64" s="1937" t="s">
        <v>1184</v>
      </c>
      <c r="D64" s="1943">
        <f>IF(D59="",0,ROUND((D59*(D60+D61)*0.5*(D63-25)+D59*D62*0.725),2))</f>
        <v>1.48</v>
      </c>
      <c r="K64" s="1974" t="s">
        <v>1185</v>
      </c>
      <c r="L64" s="1975">
        <f>'Thickness &amp; Weight'!C6</f>
        <v>0.3</v>
      </c>
      <c r="U64" s="1990" t="s">
        <v>875</v>
      </c>
      <c r="V64" s="1992">
        <v>1.2</v>
      </c>
      <c r="W64" s="1992">
        <v>1</v>
      </c>
    </row>
    <row r="65" s="1816" customFormat="1" spans="3:23">
      <c r="C65" s="1993" t="s">
        <v>1186</v>
      </c>
      <c r="D65" s="1943">
        <f>ROUND(D64/2,2)</f>
        <v>0.74</v>
      </c>
      <c r="K65" s="1974" t="s">
        <v>1187</v>
      </c>
      <c r="L65" s="1975">
        <f>'Thickness &amp; Weight'!C7</f>
        <v>0.3</v>
      </c>
      <c r="U65" s="1990" t="s">
        <v>909</v>
      </c>
      <c r="V65" s="1991">
        <v>0.9</v>
      </c>
      <c r="W65" s="1991">
        <v>0.5</v>
      </c>
    </row>
    <row r="66" s="1816" customFormat="1" spans="3:23">
      <c r="C66" s="1994" t="s">
        <v>1188</v>
      </c>
      <c r="D66" s="1995">
        <f>D65*100</f>
        <v>74</v>
      </c>
      <c r="K66" s="1974" t="s">
        <v>1189</v>
      </c>
      <c r="L66" s="1975">
        <f>'Thickness &amp; Weight'!C8</f>
        <v>0.117</v>
      </c>
      <c r="U66" s="2002" t="s">
        <v>912</v>
      </c>
      <c r="V66" s="1991">
        <v>0.8</v>
      </c>
      <c r="W66" s="1991">
        <v>0.8</v>
      </c>
    </row>
    <row r="67" s="1816" customFormat="1" spans="3:25">
      <c r="C67" s="1996"/>
      <c r="D67" s="1997">
        <f>RIGHT(D66,1)/100</f>
        <v>0.04</v>
      </c>
      <c r="K67" s="1974" t="s">
        <v>1190</v>
      </c>
      <c r="L67" s="1975">
        <f>'Thickness &amp; Weight'!C9</f>
        <v>0.07</v>
      </c>
      <c r="U67" s="2003"/>
      <c r="V67" s="2003"/>
      <c r="W67" s="2003"/>
      <c r="X67" s="2003"/>
      <c r="Y67" s="2003"/>
    </row>
    <row r="68" s="1816" customFormat="1" spans="3:23">
      <c r="C68" s="1996"/>
      <c r="D68" s="1997">
        <f>IF(D67=0,0,IF(OR(D67=0.01,D67=0.02,D67=0.03,D67=0.04,D67=0.05),0.05,0.1))</f>
        <v>0.05</v>
      </c>
      <c r="K68" s="1974" t="s">
        <v>1191</v>
      </c>
      <c r="L68" s="1975">
        <f>'Thickness &amp; Weight'!C10+'Thickness &amp; Weight'!C11+'Thickness &amp; Weight'!C12+'Thickness &amp; Weight'!C13</f>
        <v>0.482</v>
      </c>
      <c r="U68" s="2004" t="s">
        <v>1192</v>
      </c>
      <c r="V68" s="2004" t="s">
        <v>1193</v>
      </c>
      <c r="W68" s="2003"/>
    </row>
    <row r="69" s="1816" customFormat="1" spans="3:23">
      <c r="C69" s="1998"/>
      <c r="D69" s="1997" t="str">
        <f>LEFT(D65,3)</f>
        <v>0.7</v>
      </c>
      <c r="K69" s="1974" t="s">
        <v>1194</v>
      </c>
      <c r="L69" s="1975">
        <f>'Thickness &amp; Weight'!C14</f>
        <v>0.5</v>
      </c>
      <c r="U69" s="1990" t="s">
        <v>922</v>
      </c>
      <c r="V69" s="2005">
        <v>2</v>
      </c>
      <c r="W69" s="2003"/>
    </row>
    <row r="70" s="1816" customFormat="1" spans="3:23">
      <c r="C70" s="1937" t="s">
        <v>1195</v>
      </c>
      <c r="D70" s="1999">
        <f>D69+D68</f>
        <v>0.75</v>
      </c>
      <c r="K70" s="1972" t="s">
        <v>1196</v>
      </c>
      <c r="L70" s="1972">
        <v>1.52</v>
      </c>
      <c r="U70" s="1990" t="s">
        <v>926</v>
      </c>
      <c r="V70" s="2005">
        <v>1</v>
      </c>
      <c r="W70" s="2003"/>
    </row>
    <row r="71" s="1816" customFormat="1" spans="11:23">
      <c r="K71" s="1972" t="s">
        <v>1197</v>
      </c>
      <c r="L71" s="1972">
        <v>1.65</v>
      </c>
      <c r="U71" s="1990" t="s">
        <v>1198</v>
      </c>
      <c r="V71" s="2006">
        <v>0.8</v>
      </c>
      <c r="W71" s="2003"/>
    </row>
    <row r="72" s="1816" customFormat="1" spans="11:23">
      <c r="K72" s="1972" t="s">
        <v>1199</v>
      </c>
      <c r="L72" s="1972">
        <f>IF(D11&lt;344.22,0.25,0.3)</f>
        <v>0.3</v>
      </c>
      <c r="W72" s="2003"/>
    </row>
    <row r="73" s="1816" customFormat="1" spans="11:25">
      <c r="K73" s="1972" t="s">
        <v>1200</v>
      </c>
      <c r="L73" s="1972">
        <v>0.15</v>
      </c>
      <c r="U73" s="2004" t="s">
        <v>1201</v>
      </c>
      <c r="W73" s="2003"/>
      <c r="X73" s="2003"/>
      <c r="Y73" s="2003"/>
    </row>
    <row r="74" s="1816" customFormat="1" spans="11:25">
      <c r="K74" s="1974" t="s">
        <v>1202</v>
      </c>
      <c r="L74" s="1972">
        <v>0.2</v>
      </c>
      <c r="V74" s="2003"/>
      <c r="W74" s="2003"/>
      <c r="X74" s="2003"/>
      <c r="Y74" s="2003"/>
    </row>
    <row r="75" spans="11:12">
      <c r="K75" s="1974" t="s">
        <v>1203</v>
      </c>
      <c r="L75" s="1975">
        <f>D8</f>
        <v>0.15</v>
      </c>
    </row>
    <row r="76" spans="11:12">
      <c r="K76" s="1891" t="s">
        <v>1204</v>
      </c>
      <c r="L76" s="2000">
        <f>(L65+L66)*TAN(L61)+L67*TAN(L60*PI()/180)+SQRT(L72^2+L73^2+L74^2+L75^2)+0.05</f>
        <v>0.757476133685732</v>
      </c>
    </row>
    <row r="77" hidden="1" spans="11:12">
      <c r="K77" s="2001" t="s">
        <v>1205</v>
      </c>
      <c r="L77" s="2000">
        <f>(L65+L66)*TAN(L61)+L67*TAN(L60*PI()/180)+L68*TAN(L62)+SQRT(L72^2+L73^2+L74^2+L75^2)</f>
        <v>0.936094520313234</v>
      </c>
    </row>
    <row r="78" spans="11:13">
      <c r="K78" s="2001" t="s">
        <v>1206</v>
      </c>
      <c r="L78" s="2000">
        <f>(L65+L66)*TAN(L61)+L67*TAN(L60*PI()/180)+(L68+L69)*TAN(L62)+SQRT(L72^2+L73^2+L74^2+L75^2)+VLOOKUP(亮度與BLU功耗!E33,U63:W66,2,0)+VLOOKUP(亮度與BLU功耗!E35,U69:V71,2,0)+O36</f>
        <v>4.37325052303886</v>
      </c>
      <c r="M78" s="351" t="s">
        <v>1207</v>
      </c>
    </row>
    <row r="79" spans="11:13">
      <c r="K79" s="2001" t="s">
        <v>1208</v>
      </c>
      <c r="L79" s="2000">
        <f>(L65+L66)*TAN(L61)+L67*TAN(L60*PI()/180)+(L68+L69)*TAN(L62)+SQRT(L72^2+L73^2+L74^2+L75^2)+VLOOKUP(亮度與BLU功耗!E33,U63:W66,3,0)+VLOOKUP(亮度與BLU功耗!E35,U69:V71,2,0)+G36</f>
        <v>4.17325052303886</v>
      </c>
      <c r="M79" s="351" t="s">
        <v>1207</v>
      </c>
    </row>
    <row r="80" spans="11:12">
      <c r="K80" s="1816"/>
      <c r="L80" s="1816"/>
    </row>
    <row r="81" spans="11:12">
      <c r="K81" s="1816"/>
      <c r="L81" s="1816"/>
    </row>
  </sheetData>
  <sheetProtection sheet="1" objects="1" scenarios="1"/>
  <protectedRanges>
    <protectedRange sqref="E4 E13 M4 M13" name="区域2"/>
    <protectedRange sqref="D5:D6 D9:D10 D13:D14 D18 G4:G19 L5 L9:L10 L13:L14 T16:T17 L23:P23 G31:G34 O32:O34 G46:G48 J45:J47 R49:R55 L60 X39 X41 O18 O4:P17 O19:P19 U13:U14 U16:U19 R39:R41 G37:G40 G51:G54 O37:O40 U56" name="区域1"/>
  </protectedRanges>
  <mergeCells count="54">
    <mergeCell ref="B3:F3"/>
    <mergeCell ref="I3:N3"/>
    <mergeCell ref="O3:P3"/>
    <mergeCell ref="O4:P4"/>
    <mergeCell ref="O5:P5"/>
    <mergeCell ref="O6:P6"/>
    <mergeCell ref="O7:P7"/>
    <mergeCell ref="O8:P8"/>
    <mergeCell ref="O9:P9"/>
    <mergeCell ref="O10:P10"/>
    <mergeCell ref="O11:P11"/>
    <mergeCell ref="O12:P12"/>
    <mergeCell ref="S12:T12"/>
    <mergeCell ref="O13:P13"/>
    <mergeCell ref="O14:P14"/>
    <mergeCell ref="O15:P15"/>
    <mergeCell ref="O16:P16"/>
    <mergeCell ref="O17:P17"/>
    <mergeCell ref="O18:P18"/>
    <mergeCell ref="O19:P19"/>
    <mergeCell ref="D21:F21"/>
    <mergeCell ref="L21:N21"/>
    <mergeCell ref="O21:P21"/>
    <mergeCell ref="D22:F22"/>
    <mergeCell ref="L22:N22"/>
    <mergeCell ref="O22:P22"/>
    <mergeCell ref="D23:F23"/>
    <mergeCell ref="L23:N23"/>
    <mergeCell ref="O23:P23"/>
    <mergeCell ref="D24:F24"/>
    <mergeCell ref="L24:N24"/>
    <mergeCell ref="O24:P24"/>
    <mergeCell ref="D25:F25"/>
    <mergeCell ref="L25:N25"/>
    <mergeCell ref="O25:P25"/>
    <mergeCell ref="B4:B11"/>
    <mergeCell ref="B12:B19"/>
    <mergeCell ref="C11:C12"/>
    <mergeCell ref="C66:C69"/>
    <mergeCell ref="D11:D12"/>
    <mergeCell ref="E4:E10"/>
    <mergeCell ref="E13:E19"/>
    <mergeCell ref="F4:F11"/>
    <mergeCell ref="F12:F19"/>
    <mergeCell ref="K11:K12"/>
    <mergeCell ref="K18:K19"/>
    <mergeCell ref="L11:L12"/>
    <mergeCell ref="L18:L19"/>
    <mergeCell ref="M4:M10"/>
    <mergeCell ref="M13:M19"/>
    <mergeCell ref="N4:N11"/>
    <mergeCell ref="N12:N19"/>
    <mergeCell ref="I4:J11"/>
    <mergeCell ref="I12:J19"/>
  </mergeCells>
  <conditionalFormatting sqref="D5">
    <cfRule type="expression" dxfId="9" priority="8">
      <formula>$D$5=2*'Thickness &amp; Weight'!$C$17</formula>
    </cfRule>
    <cfRule type="expression" dxfId="9" priority="9">
      <formula>$D$5='Thickness &amp; Weight'!$C$17</formula>
    </cfRule>
  </conditionalFormatting>
  <conditionalFormatting sqref="L5">
    <cfRule type="expression" dxfId="9" priority="4">
      <formula>$L$5=2*'Thickness &amp; Weight'!$C$17</formula>
    </cfRule>
    <cfRule type="expression" dxfId="9" priority="5">
      <formula>$L$5='Thickness &amp; Weight'!$C$17</formula>
    </cfRule>
  </conditionalFormatting>
  <conditionalFormatting sqref="D6">
    <cfRule type="cellIs" dxfId="3" priority="23" operator="greaterThan">
      <formula>0.1</formula>
    </cfRule>
    <cfRule type="cellIs" dxfId="3" priority="24" operator="lessThan">
      <formula>0</formula>
    </cfRule>
  </conditionalFormatting>
  <conditionalFormatting sqref="D10">
    <cfRule type="cellIs" dxfId="3" priority="13" operator="greaterThan">
      <formula>$E$4-$D$4</formula>
    </cfRule>
  </conditionalFormatting>
  <conditionalFormatting sqref="L10">
    <cfRule type="cellIs" dxfId="3" priority="11" operator="greaterThan">
      <formula>$M$4-$L$4</formula>
    </cfRule>
  </conditionalFormatting>
  <conditionalFormatting sqref="D13">
    <cfRule type="cellIs" dxfId="3" priority="12" operator="greaterThan">
      <formula>$E$13-$D$19</formula>
    </cfRule>
  </conditionalFormatting>
  <conditionalFormatting sqref="T15">
    <cfRule type="cellIs" dxfId="3" priority="1" operator="lessThan">
      <formula>0</formula>
    </cfRule>
  </conditionalFormatting>
  <conditionalFormatting sqref="T16">
    <cfRule type="cellIs" dxfId="3" priority="22" operator="lessThanOrEqual">
      <formula>0</formula>
    </cfRule>
    <cfRule type="expression" dxfId="10" priority="10" stopIfTrue="1">
      <formula>亮度與BLU功耗!$E$4="Bent胶框外凸"</formula>
    </cfRule>
  </conditionalFormatting>
  <conditionalFormatting sqref="T17">
    <cfRule type="expression" dxfId="10" priority="3">
      <formula>亮度與BLU功耗!$E$4="Bent胶框外凸"</formula>
    </cfRule>
  </conditionalFormatting>
  <conditionalFormatting sqref="D18">
    <cfRule type="expression" dxfId="9" priority="6">
      <formula>$D$18=2*'Thickness &amp; Weight'!$C$17</formula>
    </cfRule>
    <cfRule type="expression" dxfId="9" priority="7">
      <formula>$D$18='Thickness &amp; Weight'!$C$17</formula>
    </cfRule>
  </conditionalFormatting>
  <dataValidations count="2">
    <dataValidation type="list" allowBlank="1" showInputMessage="1" showErrorMessage="1" sqref="D5 L5 D18">
      <formula1>'Thickness &amp; Weight'!$AE$17:$AE$18</formula1>
    </dataValidation>
    <dataValidation allowBlank="1" showInputMessage="1" showErrorMessage="1" prompt="重合为正值，未重合为负" sqref="R49"/>
  </dataValidations>
  <pageMargins left="0.7" right="0.7" top="0.75" bottom="0.75" header="0.3" footer="0.3"/>
  <pageSetup paperSize="9" orientation="portrait"/>
  <headerFooter/>
  <drawing r:id="rId2"/>
  <legacy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allowEditUser xmlns="https://web.wps.cn/et/2018/main" xmlns:s="http://schemas.openxmlformats.org/spreadsheetml/2006/main" hasInvisiblePropRange="0">
  <rangeList sheetStid="43" master=""/>
  <rangeList sheetStid="35" master=""/>
  <rangeList sheetStid="54" master=""/>
  <rangeList sheetStid="37" master=""/>
  <rangeList sheetStid="19" master="">
    <arrUserId title="区域2" rangeCreator="" othersAccessPermission="edit"/>
    <arrUserId title="区域1" rangeCreator="" othersAccessPermission="edit"/>
    <arrUserId title="区域1_1" rangeCreator="" othersAccessPermission="edit"/>
  </rangeList>
  <rangeList sheetStid="16" master="">
    <arrUserId title="区域4" rangeCreator="" othersAccessPermission="edit"/>
    <arrUserId title="区域2" rangeCreator="" othersAccessPermission="edit"/>
    <arrUserId title="区域1" rangeCreator="" othersAccessPermission="edit"/>
    <arrUserId title="区域3" rangeCreator="" othersAccessPermission="edit"/>
  </rangeList>
  <rangeList sheetStid="49" master=""/>
  <rangeList sheetStid="28" master="">
    <arrUserId title="区域1" rangeCreator="" othersAccessPermission="edit"/>
    <arrUserId title="区域1_1" rangeCreator="" othersAccessPermission="edit"/>
  </rangeList>
  <rangeList sheetStid="27" master="">
    <arrUserId title="区域2" rangeCreator="" othersAccessPermission="edit"/>
    <arrUserId title="区域1" rangeCreator="" othersAccessPermission="edit"/>
  </rangeList>
  <rangeList sheetStid="29" master="">
    <arrUserId title="区域3" rangeCreator="" othersAccessPermission="edit"/>
    <arrUserId title="区域1_1" rangeCreator="" othersAccessPermission="edit"/>
    <arrUserId title="区域1" rangeCreator="" othersAccessPermission="edit"/>
  </rangeList>
  <rangeList sheetStid="36" master="">
    <arrUserId title="区域1" rangeCreator="" othersAccessPermission="edit"/>
  </rangeList>
  <rangeList sheetStid="50" master=""/>
  <rangeList sheetStid="53" master=""/>
  <rangeList sheetStid="51" master=""/>
  <rangeList sheetStid="52" master=""/>
  <rangeList sheetStid="22" master=""/>
  <rangeList sheetStid="3" master=""/>
  <rangeList sheetStid="21" master=""/>
  <rangeList sheetStid="5" master=""/>
  <rangeList sheetStid="6" master=""/>
  <rangeList sheetStid="7" master=""/>
  <rangeList sheetStid="38" master=""/>
  <rangeList sheetStid="39" master=""/>
  <rangeList sheetStid="40" master=""/>
  <rangeList sheetStid="44" master=""/>
  <rangeList sheetStid="45" master=""/>
  <rangeList sheetStid="46" master=""/>
  <rangeList sheetStid="23" master=""/>
  <rangeList sheetStid="32" master=""/>
  <rangeList sheetStid="34" master=""/>
  <rangeList sheetStid="42" master=""/>
  <rangeList sheetStid="41" master=""/>
  <rangeList sheetStid="30" master=""/>
</allowEditUser>
</file>

<file path=customXml/itemProps1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Company>Sky123.Org</Company>
  <Application>Microsoft Excel</Application>
  <HeadingPairs>
    <vt:vector size="2" baseType="variant">
      <vt:variant>
        <vt:lpstr>工作表</vt:lpstr>
      </vt:variant>
      <vt:variant>
        <vt:i4>33</vt:i4>
      </vt:variant>
    </vt:vector>
  </HeadingPairs>
  <TitlesOfParts>
    <vt:vector size="33" baseType="lpstr">
      <vt:lpstr>检讨数据库</vt:lpstr>
      <vt:lpstr>Bent方程式</vt:lpstr>
      <vt:lpstr>BOM List格式（附件上传）规格一</vt:lpstr>
      <vt:lpstr>BOM List格式（附件上传）</vt:lpstr>
      <vt:lpstr>Summary</vt:lpstr>
      <vt:lpstr>亮度與BLU功耗</vt:lpstr>
      <vt:lpstr>Section量产数据库</vt:lpstr>
      <vt:lpstr>Thickness &amp; Weight</vt:lpstr>
      <vt:lpstr>Outline_X_and_Y</vt:lpstr>
      <vt:lpstr>Cell Tape 貼覆面積</vt:lpstr>
      <vt:lpstr>Open Cell</vt:lpstr>
      <vt:lpstr>检讨报告</vt:lpstr>
      <vt:lpstr>周边强度评估表</vt:lpstr>
      <vt:lpstr>砝码漏光模拟</vt:lpstr>
      <vt:lpstr>翘曲度评估模板</vt:lpstr>
      <vt:lpstr>量產機種資料</vt:lpstr>
      <vt:lpstr>U-Diff.選型</vt:lpstr>
      <vt:lpstr>棱鏡片選型</vt:lpstr>
      <vt:lpstr>D-Diff.選型</vt:lpstr>
      <vt:lpstr>Ref.選型</vt:lpstr>
      <vt:lpstr>LED選型</vt:lpstr>
      <vt:lpstr>背板</vt:lpstr>
      <vt:lpstr>胶框</vt:lpstr>
      <vt:lpstr>LGP </vt:lpstr>
      <vt:lpstr>Cell tape</vt:lpstr>
      <vt:lpstr>吸波材</vt:lpstr>
      <vt:lpstr>导电布</vt:lpstr>
      <vt:lpstr>LED-電流與最大電壓</vt:lpstr>
      <vt:lpstr>LED Driver 效率_100%</vt:lpstr>
      <vt:lpstr>LED Driver 效率_duty_其他</vt:lpstr>
      <vt:lpstr>LED Driver 效率_duty_其他 (3105)</vt:lpstr>
      <vt:lpstr>LED Driver 效率_duty_其他 (4206)</vt:lpstr>
      <vt:lpstr>玻璃穿透率參考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匿名用户</dc:creator>
  <cp:lastModifiedBy>10092589</cp:lastModifiedBy>
  <dcterms:created xsi:type="dcterms:W3CDTF">2017-10-23T05:44:00Z</dcterms:created>
  <dcterms:modified xsi:type="dcterms:W3CDTF">2023-07-26T09:30:11Z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2052-11.1.0.14309</vt:lpwstr>
  </property>
  <property fmtid="{D5CDD505-2E9C-101B-9397-08002B2CF9AE}" pid="3" name="SV_QUERY_LIST_4F35BF76-6C0D-4D9B-82B2-816C12CF3733">
    <vt:lpwstr>empty_477D106A-C0D6-4607-AEBD-E2C9D60EA279</vt:lpwstr>
  </property>
  <property fmtid="{D5CDD505-2E9C-101B-9397-08002B2CF9AE}" pid="4" name="SV_HIDDEN_GRID_QUERY_LIST_4F35BF76-6C0D-4D9B-82B2-816C12CF3733">
    <vt:lpwstr>empty_477D106A-C0D6-4607-AEBD-E2C9D60EA279</vt:lpwstr>
  </property>
  <property fmtid="{D5CDD505-2E9C-101B-9397-08002B2CF9AE}" pid="5" name="ICV">
    <vt:lpwstr>3AE410C792A748E6AFAB32B6AB8134DF_12</vt:lpwstr>
  </property>
</Properties>
</file>